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EDWI Reports\ADD's\2024 ADD\"/>
    </mc:Choice>
  </mc:AlternateContent>
  <xr:revisionPtr revIDLastSave="0" documentId="8_{00544581-3EC8-482D-9219-A18A62CC5771}" xr6:coauthVersionLast="47" xr6:coauthVersionMax="47" xr10:uidLastSave="{00000000-0000-0000-0000-000000000000}"/>
  <bookViews>
    <workbookView xWindow="-120" yWindow="-120" windowWidth="29040" windowHeight="15720" xr2:uid="{CB869693-D98A-4CAF-A97C-B1D00E852F47}"/>
  </bookViews>
  <sheets>
    <sheet name="Overall" sheetId="1" r:id="rId1"/>
    <sheet name="Carryover (Reserves) (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1" i="1" l="1"/>
  <c r="AV12" i="1" s="1"/>
  <c r="AT11" i="1"/>
  <c r="AT12" i="1" s="1"/>
  <c r="AS11" i="1"/>
  <c r="AS12" i="1" s="1"/>
  <c r="AT10" i="1"/>
  <c r="AV9" i="1"/>
  <c r="AV10" i="1" s="1"/>
  <c r="AS9" i="1"/>
  <c r="AS10" i="1" s="1"/>
  <c r="AV7" i="1"/>
  <c r="AV8" i="1" s="1"/>
  <c r="AT7" i="1"/>
  <c r="AT8" i="1" s="1"/>
  <c r="AS7" i="1"/>
  <c r="AS8" i="1" s="1"/>
  <c r="AV6" i="1"/>
  <c r="AT6" i="1"/>
  <c r="AS6" i="1"/>
  <c r="AW5" i="1"/>
  <c r="AW6" i="1" s="1"/>
  <c r="AU5" i="1"/>
  <c r="AY4" i="1"/>
  <c r="AY6" i="1" s="1"/>
  <c r="AY8" i="1" s="1"/>
  <c r="AX4" i="1"/>
  <c r="AX6" i="1" s="1"/>
  <c r="AX8" i="1" s="1"/>
  <c r="AU4" i="1"/>
  <c r="AU6" i="1" s="1"/>
  <c r="AL12" i="1"/>
  <c r="AK12" i="1"/>
  <c r="AR11" i="1"/>
  <c r="AQ11" i="1"/>
  <c r="AP11" i="1"/>
  <c r="AO11" i="1"/>
  <c r="AN11" i="1"/>
  <c r="AH11" i="1"/>
  <c r="AE11" i="1"/>
  <c r="AC11" i="1"/>
  <c r="AB11" i="1"/>
  <c r="AA11" i="1"/>
  <c r="AH9" i="1"/>
  <c r="AF9" i="1"/>
  <c r="AE9" i="1"/>
  <c r="AR7" i="1"/>
  <c r="AR9" i="1" s="1"/>
  <c r="AQ7" i="1"/>
  <c r="AP7" i="1"/>
  <c r="AO7" i="1"/>
  <c r="AN7" i="1"/>
  <c r="AM7" i="1"/>
  <c r="AL7" i="1"/>
  <c r="AK7" i="1"/>
  <c r="AJ7" i="1"/>
  <c r="AI7" i="1"/>
  <c r="AH7" i="1"/>
  <c r="AG7" i="1"/>
  <c r="AF7" i="1"/>
  <c r="AE7" i="1"/>
  <c r="AC7" i="1"/>
  <c r="AB7" i="1"/>
  <c r="AA7" i="1"/>
  <c r="Z7" i="1"/>
  <c r="AR6" i="1"/>
  <c r="AQ6" i="1"/>
  <c r="AP6" i="1"/>
  <c r="AM6" i="1"/>
  <c r="AM12" i="1" s="1"/>
  <c r="AL6" i="1"/>
  <c r="AK6" i="1"/>
  <c r="AJ6" i="1"/>
  <c r="AJ12" i="1" s="1"/>
  <c r="AI6" i="1"/>
  <c r="AI13" i="1" s="1"/>
  <c r="AH6" i="1"/>
  <c r="AG6" i="1"/>
  <c r="AG12" i="1" s="1"/>
  <c r="AF6" i="1"/>
  <c r="AF12" i="1" s="1"/>
  <c r="AE6" i="1"/>
  <c r="AD6" i="1"/>
  <c r="AD13" i="1" s="1"/>
  <c r="AC6" i="1"/>
  <c r="AB6" i="1"/>
  <c r="AA6" i="1"/>
  <c r="Z6" i="1"/>
  <c r="Z12" i="1" s="1"/>
  <c r="AN5" i="1"/>
  <c r="AO4" i="1"/>
  <c r="AO6" i="1" s="1"/>
  <c r="AN4" i="1"/>
  <c r="AN6" i="1" s="1"/>
  <c r="Y11" i="1"/>
  <c r="X11" i="1"/>
  <c r="W11" i="1"/>
  <c r="U11" i="1"/>
  <c r="S11" i="1"/>
  <c r="R11" i="1"/>
  <c r="Q11" i="1"/>
  <c r="P11" i="1"/>
  <c r="O11" i="1"/>
  <c r="N11" i="1"/>
  <c r="L11" i="1"/>
  <c r="G11" i="1"/>
  <c r="E11" i="1"/>
  <c r="D11" i="1"/>
  <c r="B11" i="1"/>
  <c r="Y9" i="1"/>
  <c r="X9" i="1"/>
  <c r="W9" i="1"/>
  <c r="V9" i="1"/>
  <c r="U9" i="1"/>
  <c r="T9" i="1"/>
  <c r="S9" i="1"/>
  <c r="R9" i="1"/>
  <c r="Q9" i="1"/>
  <c r="P9" i="1"/>
  <c r="O9" i="1"/>
  <c r="N9" i="1"/>
  <c r="M9" i="1"/>
  <c r="L9" i="1"/>
  <c r="K9" i="1"/>
  <c r="I9" i="1"/>
  <c r="H9" i="1"/>
  <c r="G9" i="1"/>
  <c r="F9" i="1"/>
  <c r="E9" i="1"/>
  <c r="D9" i="1"/>
  <c r="C9" i="1"/>
  <c r="B9" i="1"/>
  <c r="W7" i="1"/>
  <c r="O7" i="1"/>
  <c r="N7" i="1"/>
  <c r="L7" i="1"/>
  <c r="G7" i="1"/>
  <c r="E7" i="1"/>
  <c r="D7" i="1"/>
  <c r="B7" i="1"/>
  <c r="J6" i="1"/>
  <c r="J13" i="1" s="1"/>
  <c r="G5" i="1"/>
  <c r="Y4" i="1"/>
  <c r="Y6" i="1" s="1"/>
  <c r="X4" i="1"/>
  <c r="X6" i="1" s="1"/>
  <c r="W4" i="1"/>
  <c r="W6" i="1" s="1"/>
  <c r="V4" i="1"/>
  <c r="V6" i="1" s="1"/>
  <c r="U4" i="1"/>
  <c r="U6" i="1" s="1"/>
  <c r="T4" i="1"/>
  <c r="T6" i="1" s="1"/>
  <c r="S4" i="1"/>
  <c r="S6" i="1" s="1"/>
  <c r="R4" i="1"/>
  <c r="R6" i="1" s="1"/>
  <c r="Q4" i="1"/>
  <c r="Q6" i="1" s="1"/>
  <c r="P4" i="1"/>
  <c r="P6" i="1" s="1"/>
  <c r="P8" i="1" s="1"/>
  <c r="O4" i="1"/>
  <c r="O6" i="1" s="1"/>
  <c r="N4" i="1"/>
  <c r="N6" i="1" s="1"/>
  <c r="M4" i="1"/>
  <c r="M6" i="1" s="1"/>
  <c r="L4" i="1"/>
  <c r="L6" i="1" s="1"/>
  <c r="K4" i="1"/>
  <c r="K6" i="1" s="1"/>
  <c r="I4" i="1"/>
  <c r="I6" i="1" s="1"/>
  <c r="H4" i="1"/>
  <c r="H6" i="1" s="1"/>
  <c r="G4" i="1"/>
  <c r="F4" i="1"/>
  <c r="F6" i="1" s="1"/>
  <c r="E4" i="1"/>
  <c r="E6" i="1" s="1"/>
  <c r="D4" i="1"/>
  <c r="D6" i="1" s="1"/>
  <c r="C4" i="1"/>
  <c r="C6" i="1" s="1"/>
  <c r="C12" i="1" s="1"/>
  <c r="B4" i="1"/>
  <c r="B6" i="1" s="1"/>
  <c r="AO13" i="1" l="1"/>
  <c r="AR10" i="1"/>
  <c r="AT13" i="1"/>
  <c r="AK13" i="1"/>
  <c r="AG8" i="1"/>
  <c r="AE10" i="1"/>
  <c r="AR12" i="1"/>
  <c r="AV13" i="1"/>
  <c r="AS13" i="1"/>
  <c r="AF10" i="1"/>
  <c r="AE12" i="1"/>
  <c r="AP9" i="1"/>
  <c r="AP13" i="1" s="1"/>
  <c r="B10" i="1"/>
  <c r="AL13" i="1"/>
  <c r="AA12" i="1"/>
  <c r="AU13" i="1"/>
  <c r="AU8" i="1"/>
  <c r="AU10" i="1"/>
  <c r="AU12" i="1"/>
  <c r="AW13" i="1"/>
  <c r="AW8" i="1"/>
  <c r="AW10" i="1"/>
  <c r="AW12" i="1"/>
  <c r="AX13" i="1"/>
  <c r="AY13" i="1"/>
  <c r="AH12" i="1"/>
  <c r="AN9" i="1"/>
  <c r="AN13" i="1" s="1"/>
  <c r="Z8" i="1"/>
  <c r="AX12" i="1"/>
  <c r="AB12" i="1"/>
  <c r="AH8" i="1"/>
  <c r="AL8" i="1"/>
  <c r="AY12" i="1"/>
  <c r="AC13" i="1"/>
  <c r="AI8" i="1"/>
  <c r="AQ9" i="1"/>
  <c r="AQ13" i="1" s="1"/>
  <c r="AX10" i="1"/>
  <c r="N8" i="1"/>
  <c r="AJ8" i="1"/>
  <c r="AY10" i="1"/>
  <c r="O8" i="1"/>
  <c r="AK8" i="1"/>
  <c r="AH10" i="1"/>
  <c r="AI12" i="1"/>
  <c r="AE13" i="1"/>
  <c r="AF13" i="1"/>
  <c r="AR13" i="1"/>
  <c r="AP10" i="1"/>
  <c r="AN10" i="1"/>
  <c r="AP12" i="1"/>
  <c r="AG13" i="1"/>
  <c r="AO12" i="1"/>
  <c r="AC12" i="1"/>
  <c r="AH13" i="1"/>
  <c r="AA9" i="1"/>
  <c r="AA10" i="1" s="1"/>
  <c r="Z10" i="1"/>
  <c r="Z13" i="1"/>
  <c r="AI10" i="1"/>
  <c r="AQ10" i="1"/>
  <c r="AJ13" i="1"/>
  <c r="AJ10" i="1"/>
  <c r="AK10" i="1"/>
  <c r="AL10" i="1"/>
  <c r="AD12" i="1"/>
  <c r="AA8" i="1"/>
  <c r="AQ12" i="1"/>
  <c r="AB8" i="1"/>
  <c r="AC8" i="1"/>
  <c r="AP8" i="1"/>
  <c r="B12" i="1"/>
  <c r="AM8" i="1"/>
  <c r="AN8" i="1"/>
  <c r="AO8" i="1"/>
  <c r="N10" i="1"/>
  <c r="AD8" i="1"/>
  <c r="AM10" i="1"/>
  <c r="AM13" i="1"/>
  <c r="O10" i="1"/>
  <c r="AE8" i="1"/>
  <c r="AQ8" i="1"/>
  <c r="AB10" i="1"/>
  <c r="AB13" i="1"/>
  <c r="AF8" i="1"/>
  <c r="AR8" i="1"/>
  <c r="AC10" i="1"/>
  <c r="AO10" i="1"/>
  <c r="D10" i="1"/>
  <c r="Y12" i="1"/>
  <c r="AD10" i="1"/>
  <c r="G6" i="1"/>
  <c r="G8" i="1" s="1"/>
  <c r="N12" i="1"/>
  <c r="AG10" i="1"/>
  <c r="AN12" i="1"/>
  <c r="O12" i="1"/>
  <c r="C10" i="1"/>
  <c r="P10" i="1"/>
  <c r="E12" i="1"/>
  <c r="M10" i="1"/>
  <c r="Y10" i="1"/>
  <c r="L12" i="1"/>
  <c r="M12" i="1"/>
  <c r="Q10" i="1"/>
  <c r="N13" i="1"/>
  <c r="B8" i="1"/>
  <c r="O13" i="1"/>
  <c r="M8" i="1"/>
  <c r="H12" i="1"/>
  <c r="H8" i="1"/>
  <c r="H13" i="1"/>
  <c r="H10" i="1"/>
  <c r="U13" i="1"/>
  <c r="U12" i="1"/>
  <c r="U8" i="1"/>
  <c r="U10" i="1"/>
  <c r="I12" i="1"/>
  <c r="I8" i="1"/>
  <c r="I13" i="1"/>
  <c r="I10" i="1"/>
  <c r="K13" i="1"/>
  <c r="K12" i="1"/>
  <c r="K8" i="1"/>
  <c r="K10" i="1"/>
  <c r="V13" i="1"/>
  <c r="V12" i="1"/>
  <c r="V8" i="1"/>
  <c r="V10" i="1"/>
  <c r="W13" i="1"/>
  <c r="W12" i="1"/>
  <c r="W10" i="1"/>
  <c r="L13" i="1"/>
  <c r="L10" i="1"/>
  <c r="X13" i="1"/>
  <c r="X8" i="1"/>
  <c r="X10" i="1"/>
  <c r="Y8" i="1"/>
  <c r="L8" i="1"/>
  <c r="B13" i="1"/>
  <c r="P13" i="1"/>
  <c r="P12" i="1"/>
  <c r="C13" i="1"/>
  <c r="D8" i="1"/>
  <c r="D13" i="1"/>
  <c r="Q13" i="1"/>
  <c r="Q12" i="1"/>
  <c r="Q8" i="1"/>
  <c r="M13" i="1"/>
  <c r="E8" i="1"/>
  <c r="E13" i="1"/>
  <c r="E10" i="1"/>
  <c r="R13" i="1"/>
  <c r="R12" i="1"/>
  <c r="R8" i="1"/>
  <c r="R10" i="1"/>
  <c r="W8" i="1"/>
  <c r="F12" i="1"/>
  <c r="F8" i="1"/>
  <c r="F13" i="1"/>
  <c r="F10" i="1"/>
  <c r="S13" i="1"/>
  <c r="S12" i="1"/>
  <c r="S8" i="1"/>
  <c r="S10" i="1"/>
  <c r="T13" i="1"/>
  <c r="T12" i="1"/>
  <c r="T8" i="1"/>
  <c r="T10" i="1"/>
  <c r="C8" i="1"/>
  <c r="D12" i="1"/>
  <c r="X12" i="1"/>
  <c r="Y13" i="1"/>
  <c r="C10" i="2"/>
  <c r="AA13" i="1" l="1"/>
  <c r="G10" i="1"/>
  <c r="G13" i="1"/>
  <c r="G12" i="1"/>
</calcChain>
</file>

<file path=xl/sharedStrings.xml><?xml version="1.0" encoding="utf-8"?>
<sst xmlns="http://schemas.openxmlformats.org/spreadsheetml/2006/main" count="255" uniqueCount="187">
  <si>
    <t>Title III B</t>
  </si>
  <si>
    <t>Title III B Omb</t>
  </si>
  <si>
    <t>Title III C1</t>
  </si>
  <si>
    <t>Title III C2</t>
  </si>
  <si>
    <t>Title III D</t>
  </si>
  <si>
    <t>Title III E</t>
  </si>
  <si>
    <t>Title VII Elder Abuse</t>
  </si>
  <si>
    <t>Title VII Ombudsman</t>
  </si>
  <si>
    <t>Ky Caregiver</t>
  </si>
  <si>
    <t>State Long Term Care Ombudsman</t>
  </si>
  <si>
    <t>Homecare</t>
  </si>
  <si>
    <t>SHIP</t>
  </si>
  <si>
    <t>ADRC Medicaid</t>
  </si>
  <si>
    <t>Expanding Senior Meals Program</t>
  </si>
  <si>
    <t>JFA-EDA</t>
  </si>
  <si>
    <t>JFA-CDBG</t>
  </si>
  <si>
    <t>JFA-Administration</t>
  </si>
  <si>
    <t>Regional Transportation</t>
  </si>
  <si>
    <t>Water Management Resources</t>
  </si>
  <si>
    <t>MPO</t>
  </si>
  <si>
    <t>Local Road Updates</t>
  </si>
  <si>
    <t>Grant Award</t>
  </si>
  <si>
    <t>Local Funds (Match or applied)</t>
  </si>
  <si>
    <t/>
  </si>
  <si>
    <t>Total Grant Funds</t>
  </si>
  <si>
    <t>Administrative Costs</t>
  </si>
  <si>
    <t>% of Admin Cost</t>
  </si>
  <si>
    <t>Direct Expenditures</t>
  </si>
  <si>
    <t>% of Direct Expenditures</t>
  </si>
  <si>
    <t>Indirect Expenditures</t>
  </si>
  <si>
    <t>% of Indirect Expenditures</t>
  </si>
  <si>
    <t>Unexpended Funds</t>
  </si>
  <si>
    <t>Explanation of Unexpended Funds</t>
  </si>
  <si>
    <t>Contract period has not ended</t>
  </si>
  <si>
    <t>Unexpended funds due to loss of ability to utilize funds in other areas, providers unable to recruit/retain staff to provide services.</t>
  </si>
  <si>
    <t>List of Direct Services provided by ADD</t>
  </si>
  <si>
    <t>Case Management Services, Information, Referral, and Assistance Services</t>
  </si>
  <si>
    <t>Program Oversight, Monitoring</t>
  </si>
  <si>
    <t>Assessment, Information and Referral, Supplemental Services</t>
  </si>
  <si>
    <t>Assessment, Information and Referral, and Supplemental Services</t>
  </si>
  <si>
    <t>Case Management Services, Home Visit, and Information and Referral</t>
  </si>
  <si>
    <t>Staff provides benefits counseling to Medicare beneficiaries and older adults in need of assistance for accessing benefits they need and those they are entitled to receive.  Trained counselors work with persons individually in various settings including telephonic assistance. Staff also provide and participate in various events, activities and outreach initiatives to provide information, knowledge, and education to the public about benefits, programs and services that can help Medicare Beneficiaries and persons 60 and older.</t>
  </si>
  <si>
    <t>The goal of this program is to improve Medicare Beneficiaries access to financial assistance programs, including Medicare Savings Programs and the Part D Low-Income Subsidy or Extra Help Benefit toward prescription drug plans selected.  SHIP (Benefits) Counselors provide Benefits Counseling, Transition Assistance, and Information Referral and Awareness to individuals and through health fairs and other events.</t>
  </si>
  <si>
    <t xml:space="preserve">The goal of this program is to improve Medicare Beneficiaries access to financial assistance programs, including Medicare Savings Programs and the Part D Low-Income Subsidy or Extra Help Benefit toward prescription drug plans selected.  AAA staff provides Benefits Counseling, Transition Assistance, and Information Referral and Awareness to individuals and through health fairs and other events. They also work with partner agencies to ensure they have access to information and training to help people they serve. </t>
  </si>
  <si>
    <t>The goal of this program is to improve Medicare Beneficiaries access to financial assistance programs, including Medicare Savings Programs and the Part D Low-Income Subsidy or Extra Help Benefit toward prescription drug plans selected. ADRC staff conducts outreach and facilitates community access to increase utilization of and enrollment of Medicare Beneficiaries for the Low Income Subsidy or Extra Help Benefit toward prescription drug plan counseling.</t>
  </si>
  <si>
    <t>Benefits Counseling, Care Coordination and Transition Assistance, Information Referral and Awareness, Intake and Assessment</t>
  </si>
  <si>
    <t>Direct Service Providers/Contractors Contracted by ADD and services provided</t>
  </si>
  <si>
    <t>Highlands Community Ministries: Advocacy, Education, Friendly Visiting, Health Promotion, Information and Referral, Outreach, Recreation</t>
  </si>
  <si>
    <t>Louisville Metro Government – Nutrition Services: Nutrition Education, Meal Preparation, Meal Delivery</t>
  </si>
  <si>
    <t>Highlands Community Ministries: Disease Prevention</t>
  </si>
  <si>
    <t>Jewish Family and Career Services: Counseling, Support Groups, Caregiver Training, Respite, Assistance</t>
  </si>
  <si>
    <t>Catholic Charities: Prevention of ElderAbuse, Neglect, Exploitation and Presentations</t>
  </si>
  <si>
    <t>Masterson's Food and Drink: Nutrition Education, Meal Preparation</t>
  </si>
  <si>
    <t>Legal Aid Society: Assistance, Information, Supplement Services</t>
  </si>
  <si>
    <t>LifeLine: In-Home Services</t>
  </si>
  <si>
    <t>Jewish Family and Career Services: Advocacy, Case Management, Counseling, Education, Employment Services, Friendly Visiting, Health Promotion, Homemaking, Information and Referral, Outreach, Recreation, Telephone Reassurance</t>
  </si>
  <si>
    <t>Tri-County Community Action Agency: Nutrition Education, Meal Preparation, Meal Delivery</t>
  </si>
  <si>
    <t>Legal Aid Society: Legal Assistance, Access Assistance</t>
  </si>
  <si>
    <t>Jewish Community of Louisville: Nutrition Education, Meal Preparation</t>
  </si>
  <si>
    <t>Tri-County Community Action Agency: In-Home Services</t>
  </si>
  <si>
    <t>Legal Aid Society of Louisville: Legal Services, Information and Referral</t>
  </si>
  <si>
    <t>Multi-Purpose Community Action Agency: Nutrition Education, Meal Preparation, Meal Delivery</t>
  </si>
  <si>
    <t>Tri-County Community Action Agency: Disease Prevention</t>
  </si>
  <si>
    <t>UofL Trager Institute</t>
  </si>
  <si>
    <t>Multi-Purpose Community Agency-Bullitt: Advocacy, Counseling, Education, Employment Services, Health Promotion, Information and Referral, Outreach, Recreation, Telephone Reassurance</t>
  </si>
  <si>
    <t>Masterson’s Food and Drink: Nutrition Education, Meal Preparation, Meal Delivery</t>
  </si>
  <si>
    <t>Masterson’s Food and Drink: Nutrition Education, Meal Delivery</t>
  </si>
  <si>
    <t>Tri-County Community Action Agency-Henry: Advocacy, Counseling, Education, Friendly Visiting, Health Promotion, Information and Referral, Outreach, Recreation, Transportation, Telephone Reassurance, Adult Day Care Services</t>
  </si>
  <si>
    <t>Tri-County Community Action Agency-Oldham: Advocacy, Counseling, Education, Employment Services, Friendly Visiting, Health Promotion, Information and Referral, Outreach, Recreation, Transportation, Telephone Reassurance, Adult Day Care Services</t>
  </si>
  <si>
    <t>Tri-County Community Action Agency-Trimble: Advocacy, Counseling, Education, Friendly Visiting, Health Promotion, Information and Referral, Outreach, Recreation, Transportation, Telephone Reassurance, Adult Day Care Services</t>
  </si>
  <si>
    <t>UofL Family and Geriatric Medicine: Medication Management</t>
  </si>
  <si>
    <t>Louisville Wheels, Inc.: Transportation Services</t>
  </si>
  <si>
    <t>Career Center Operators</t>
  </si>
  <si>
    <t>Training Service Providers and services provided</t>
  </si>
  <si>
    <t>Eligible Persons</t>
  </si>
  <si>
    <t># Persons Served</t>
  </si>
  <si>
    <t># People on Waiting List</t>
  </si>
  <si>
    <t>Performance Measures</t>
  </si>
  <si>
    <t>SEE MASTER PERFORMANCE MEASURE BINDER</t>
  </si>
  <si>
    <t>BRIC</t>
  </si>
  <si>
    <t>Elderserve CDBG</t>
  </si>
  <si>
    <t>Angel's Envy CDBG</t>
  </si>
  <si>
    <t>CED ARPA Contracts</t>
  </si>
  <si>
    <t>CWG Grants</t>
  </si>
  <si>
    <t>MSD Pump Station</t>
  </si>
  <si>
    <t>MSD Ash Ave Area Interceptor Project</t>
  </si>
  <si>
    <t>MSD Ohio River Lift Station Project</t>
  </si>
  <si>
    <t>Angel's Envy EDA</t>
  </si>
  <si>
    <t>Bullitt Cty Roe Hill CDBG</t>
  </si>
  <si>
    <t>Weiland CDBG</t>
  </si>
  <si>
    <t>JFA-Technical Assistance</t>
  </si>
  <si>
    <t>Rideshare</t>
  </si>
  <si>
    <t xml:space="preserve">Staff is providing ARPA Administration to cities and counties in the KIPDA Region. </t>
  </si>
  <si>
    <t xml:space="preserve">This project involves the construction of interceptor sewers from the Ash Avenue WWTP to the newly constructed Upper Floyds Fork Interceptor. The interceptor sewers will discharge at the Floyds Fork Water Quality Treatment Center (WQTC). The project will be broken into two contracts.  KIPDA staff assisted with the submittal of the SRF application.  Pre-construction meeting; monthly progress meetings.  </t>
  </si>
  <si>
    <t xml:space="preserve">This Roe Hill Road Area Water Main Extension &amp; Pump Station Project will install 12,040 feet of 4-inch  water main and a booster pump station to provide potable water to 37 unserved residences on Roe Hill Road, Kerr Lane, P’Poole Lane and Perkins Court in Bullitt County, Kentucky for an estimated project cost of $1,075,700.  Staff has been attending meetings with LWC, fiscal court, KIA, KDOW and providing technical assistance.  KIPDA staff administered the CDBG funds.  </t>
  </si>
  <si>
    <t xml:space="preserve">Shelbyville Municipal Water &amp; Sewer Director is applying for a  CDBG grant to install 2,300 linear feet (LF) of 12-inch PVC sewer main and associated constructed material for Wieland North American Copper Recycling Facility to locate in Shelbyville and bring  75 jobs.  Staff is administering the CDBG funds and assisting with project close-out.  </t>
  </si>
  <si>
    <t xml:space="preserve">KIPDA staff provides three certified CDBG grant administrators to local units of government in the region.
Staff meets regularly with communities to describe the funding availability and outline program requirements. Working with the communities, KIPDA staff determines if their projects eligibility by seeing if it meet program requirements, including but not limited to national objectives, thresholds, and LMI beneficiaries. 
Staff provides direct development services to communities in the development and preparation of eligible projects. Staff prepares the application and all planning required to meet the program requirements. This includes, but again not limited to, citizen participation, individual surveys, environmental release, cost estimates, resolutions, and advertisements. 
KIPDA staff worked with communities in Bullitt, Trimble,  Henry, and Shelby Counties for the preparation of projects.                                                                                                   In response to COVID-19, staff prepared 12 CDBG-CV grant applications that directed CDBG funding for utility assistance.                                                                                                                        Staff prepared CDBG-CV application for the following communities: Bullitt, Spencer, Oldham, Henry Trimble, Shelby, Mt. Washington, Shepherdsville, Taylorsville, Shelbyville, La Grange, and Crestwood.                                       </t>
  </si>
  <si>
    <t xml:space="preserve">The Water Management Coordinator for KIPDA provides many essential services to help serve the region’s water and wastewater systems per their contract with the Kentucky Infrastructure Authority (KIA). The Water Management Coordinator procures guest speakers for and facilitates the Regional Water Management Council for the Area Development District.  Council meetings are held quarterly; in January, April, July and October. The Water Management Coordinator is responsible for conducting system visits every February or March with each system in the KIPDA region in order to review, update and verify the information in the WRIS Portal and to assist with project planning and development activities for the utility. The Water Management Coordinator also creates and maintains clean and drinking water project profiles for systems and conducts project control and quality assurance to make sure that all data conforms to the requirements and specifications set forth by KIA. Quarterly reports are submitted to KIA by the Water Management Coordinator based on their activities under the Memorandum of Agreement and the coordinator attends all meetings held by KIA to discuss data collection, asset management and quality control. Another duty the Water Management Coordinator has is to conduct County Water Management Council meetings each September to gain further insight on where each county in the region stands with their infrastructure needs and to rank the existing water and wastewater projects by their priority. The Water Management Coordinator will then take this information to form the regional priority project rankings, which are evaluated by a set of KIPDA scoring criteria. Consistently reviewing and updating system and project profiles so that spatial and non-spatial data coincide is another important responsibility of the coordinator, as is keeping an updated and thorough asset inventory and making sure that rate increases and financial data gets accurately documented. The Water Management Coordinator also works with utilities, KIA and the Kentucky Division of Water (DOW) in all endeavors related to the State Revolving Fund (SRF) Loan application to ensure that all eligible systems are applying before the deadline and get help with any necessary paperwork or required forms. </t>
  </si>
  <si>
    <t>Transportation planning services and support in the rural KIPDA Counties as part of the KYTC Statewide Transportation Planning process and the development of the Six-Year Highway Plan.</t>
  </si>
  <si>
    <t>Promoting alternative forms of transportation and providing ride-matching services. Management and operation of a vanpool program for commuting into, out of, and within the KIPDA region.</t>
  </si>
  <si>
    <t>Louisville Metro - Data Collection - contract with Louisville Metro to provide traffic count data, which is used to develop and maintain the KIPDA regional travel model
Transit Authority of River City (TARC) - Route Monitoring - contract with TARC to obtain ridership and other route data for use in transit planning efforts</t>
  </si>
  <si>
    <t>Program serves entire KIPDA Region including 114 Units of Government</t>
  </si>
  <si>
    <t>Creation of 75 jobs</t>
  </si>
  <si>
    <t>Kentuckiana Regional Planning and Development Agency</t>
  </si>
  <si>
    <t>Amount</t>
  </si>
  <si>
    <t>Decrease in Net Position from regular operations</t>
  </si>
  <si>
    <t>Non Cash Pension Expense Adjustment to reflect agency's proportionate share of the net pension liability related to the County Employee Retirement System</t>
  </si>
  <si>
    <t>Non Cash other Postemployment Benefits other than Pensions (Retiree Health Insurance) to reflect Agency's proportionate share of the net liability of County Employee  Retirement System's health insurance funds</t>
  </si>
  <si>
    <t>Net increase in Reserves</t>
  </si>
  <si>
    <t xml:space="preserve">BRIC Contract with EEC.  Conduct 2 stakeholder meetings; survey and identify future mitigation projects that address energy needs and allow for additional public and stakeholder participation and feedback.  </t>
  </si>
  <si>
    <t xml:space="preserve">Staff assisted the City of Louisville and Elderserve with the CDBG, public meetings, income surveys and eClearinghouse to renovate the existing building. The grant was awarded and KIPDA is administering the funds.  </t>
  </si>
  <si>
    <t xml:space="preserve">Staff assisted the Henry County Fiscal Court with the CDBG and EDA Applications, public meetings, income surveys and eClearinghouse to provide sanitary sewer service to the proposed Angel’s Envy Distillery located between Campbellsburg and New Castle in Henry County  . The grant was awarded and KIPDA is administering the funds.  </t>
  </si>
  <si>
    <t>30 jobs created</t>
  </si>
  <si>
    <t xml:space="preserve">Program serves entire KIPDA Region including 114 Units of Government.  </t>
  </si>
  <si>
    <t xml:space="preserve">Creation of 30 jobs. </t>
  </si>
  <si>
    <t>Net change in Reserves for FY 2024</t>
  </si>
  <si>
    <t>Multi-year Obligated Funds carryover to FY25.</t>
  </si>
  <si>
    <t>Funds were spent at time of billing, due to pool allocation changes that occurred in June 2024, the unexpended funds became available.</t>
  </si>
  <si>
    <t>BEAD</t>
  </si>
  <si>
    <t>The project was completed in FY24, lump sum amount was paid for services, but all of the lump sum was not utilized.</t>
  </si>
  <si>
    <t>Haven Recovery CDBG</t>
  </si>
  <si>
    <t>HMGP Lebanon Junction Pump Station</t>
  </si>
  <si>
    <t>Safe Streets &amp; Roads for All</t>
  </si>
  <si>
    <t>City of Jtown Gaslight Square</t>
  </si>
  <si>
    <t>Metro Bike Implementation Plan</t>
  </si>
  <si>
    <t>Full Multi-Year (FY23-FY25) Contract: $25,000.00 // Above award amount was budgeted obligation for FY24. Multi-Year Obligated Funds carried over to FY25.</t>
  </si>
  <si>
    <t>Full Multi-Year (FY22-Completion) Contract: $311,334.91 // Above award amount was budgeted obligation for FY24. Multi-year Obligated Funds carried over to FY25.</t>
  </si>
  <si>
    <t>Full Multi-Year (FY22-Completion) Contract: $465,369.86 // Above award amount was budgeted obligation for FY24. Multi-year Obligated Funds pulled from FY25 reserve to cover expenses.</t>
  </si>
  <si>
    <t>Full Multi-Year (FY24-FY26) Contract: $18,291.00 // Above award amount was budgeted obligation for FY24. Multi-Year Obligated Funds carried over to FY25.</t>
  </si>
  <si>
    <t xml:space="preserve">Full Multi-Year (FY23-FY26) Contract: $35,000.00 // Above award amount was budgeted obligation for FY24. Multi-Year Obligated Funds carried over to FY25.  </t>
  </si>
  <si>
    <t>Full Multi-Year (FY22-FY25) Contract: $50,000.00 // Above award amount was budgeted obligation for FY24. Multi-year Obligated Funds pulled from FY25 reserve to cover expenses.</t>
  </si>
  <si>
    <t>Full Multi-Year (FY22-FY25) Contract: $205,000.00 // Above award amount was budgeted obligation for FY24. Multi-year Obligated Funds pulled from FY25 reserve to cover expenses.</t>
  </si>
  <si>
    <t xml:space="preserve">Full Multi-Year (FY22-FY25) Contract: $25,000.00 // Above award amount was budgeted obligation for FY24. Multi-Year Obligated Funds carried over to FY25.  </t>
  </si>
  <si>
    <t>Full Multi-Year (FY23-Completion) Contract: $3,500.00 // Above award amount was budgeted obligation for FY24. Multi-year Obligated Funds pulled from FY25 reserve to cover expenses.</t>
  </si>
  <si>
    <t>NSIP 7/1/23 to 9/30/23</t>
  </si>
  <si>
    <t>NSIP 10/1/23 to 6/30/24</t>
  </si>
  <si>
    <t>MIPPA SHIP 7/1/23 to 8/31/23</t>
  </si>
  <si>
    <t>MIPPA SHIP 9/1/23 to 6/30/24</t>
  </si>
  <si>
    <t>MIPPA AAA 7/1/23 to 8/31/23</t>
  </si>
  <si>
    <t>MIPPA AAA 9/30/23 to 6/30/23</t>
  </si>
  <si>
    <t>MIPPA ADRC 7/1/23 to 8/31/23</t>
  </si>
  <si>
    <t>MIPPA ADRC 9/30/23 to 6/30/24</t>
  </si>
  <si>
    <t>ADVC</t>
  </si>
  <si>
    <t>INNU</t>
  </si>
  <si>
    <t>Some funds that were awarded have an expiration date past FY24</t>
  </si>
  <si>
    <t>Loss of service provider, some funds that were awarded have an expiration date past FY24. Two new programs being implemented in FY2025 will utilize carry forward funding.</t>
  </si>
  <si>
    <t>Grant funds were expended prior to the start of FY24.</t>
  </si>
  <si>
    <t>The amount of unexpended funds is as close as we could get to the contract amount without exceeding the limit</t>
  </si>
  <si>
    <t>Provider did not utilize all funds</t>
  </si>
  <si>
    <t>Analysis was completed for allocation of work hours and work performed to ensure proper us of funds moving forward.</t>
  </si>
  <si>
    <t>Meals were purchased using other funds.</t>
  </si>
  <si>
    <t>Funds were due to carry-over to FY25</t>
  </si>
  <si>
    <t>Home delivered meals</t>
  </si>
  <si>
    <t>The goal of this program is to reduce social isolation and instruct providers, employees and volunteers in suicide risk reduction</t>
  </si>
  <si>
    <t>Tri-County Community Action Agency: Vaccine outreach and education</t>
  </si>
  <si>
    <t>Jewish Family &amp; Career Services: Disease Prevention</t>
  </si>
  <si>
    <t>Multi-Purpose Community Action Agency: Vaccine outreach and education</t>
  </si>
  <si>
    <t>Southern Homecare Services: In-Home Services</t>
  </si>
  <si>
    <t>Commonwealth Care, Inc.: In-Home Services</t>
  </si>
  <si>
    <t>Jewish Community of Louisville: Vaccine outreach and education</t>
  </si>
  <si>
    <t>HDIS: Supplies</t>
  </si>
  <si>
    <t>Louisville Metro Government – Nutrition Services: Vaccine outreach and education</t>
  </si>
  <si>
    <t>VRI: Personal Emergency Response Systems</t>
  </si>
  <si>
    <t>PMF: Supplies</t>
  </si>
  <si>
    <t>Guardian Medical Monitoring: Personal Emergency Response Systems</t>
  </si>
  <si>
    <t>Independence Assistance Service Bluegrass: In-Home Services</t>
  </si>
  <si>
    <t>Visiting Angels: In-Home Services</t>
  </si>
  <si>
    <t xml:space="preserve">KIPDA contracted with the Office of Broadband Development to create broadband availability maps for each county in the region. KIPDA staff created availability maps based on data provided by the Kentucky Office of Broadband Development. After the maps were created, KIPDA staff held meetings in each county to discuss what data needed to be changed or added.  KIPDA was given the opportunity to challenge inaccurate data. </t>
  </si>
  <si>
    <t>The proposed project would construct a permanent pump station for the removal of flood waters within the levee system that was originally constructed in 1966.</t>
  </si>
  <si>
    <t xml:space="preserve">Due to the number of surplus vehicles and the relatively low ridership after the COVID-19 Pandemic, this program has not needed to purchase new vehicles for multiple years.  The purchase of replacement vehicles is typically the largest expense of this program and unexpended funds will occur until new vehicles are purchased. The program's federal funding (from the KIPDA Transportation Policy Committee) was cut by a small amount recently and further cuts could occur in future years depending on ridership levels. </t>
  </si>
  <si>
    <t>Metropolitan Transportation Planning for development, management, and operation of surface transportation systems in the Louisville Urbanized Area, including maintenance of the MTP, the TIP and dedicated funding.</t>
  </si>
  <si>
    <t>A regional data-driven safety planning effort to assess the crash trends and safety needs of the nine-county bi-state KIPDA Region.</t>
  </si>
  <si>
    <t>Level of services was over projected for the year.</t>
  </si>
  <si>
    <t>Full Multi-Year (FY22-FY24) Contract: $16,347.27 // Above award amount was budgeted obligation for FY24. Some expenses from FY23 were not reimbursable which freed up additional funds to cover the overage in FY24.</t>
  </si>
  <si>
    <t>The goal of this program was to increase awareness and participation in vaccines such as COVID, flu, pneumonia, etc.</t>
  </si>
  <si>
    <t>Staff assisted the Haven Ministries with the CDBG, public meetings, income surveys and eClearinghouse to renovate the existing building. The grant was awarded and KIPDA is administering the funds.</t>
  </si>
  <si>
    <t>Application process and exhibits required for CWP grant applications.  Administration and monitoring of the Davis-Bacon and American Iron &amp; Steel requirements for SRF funds to address I &amp; I issues at the Staff reviews AIS certifications, performs labor monitoring, and attends progress meetings.</t>
  </si>
  <si>
    <t>Administration and monitoring of the Davis-Bacon and American Iron &amp; Steel requirements for SRF funds to address I &amp; I issues at the Staff reviews AIS certifications, performs labor monitoring, and attends progress meetings.</t>
  </si>
  <si>
    <t xml:space="preserve">KIPDA staff led the planning process and revisions for the annual update to the KIPDA Regional Comprehensive Economic Development Strategy (CEDS) document. The CEDS is a CEDS is a strategy-driven plan for regional economic development. Updates were made to demographics, projects and new and expanding industries.                                                            Staff meets with local officials and new or existing business to discuss project development and potential funding opportunities. 
                                                    </t>
  </si>
  <si>
    <t>Catholic Charities: Closing client complaints, Consultations to Facilities, Consultation/Information to Individuals, Participation in Facility Surveys, Working with Resident Councils, Working with Family Councils, Facility Visits, and Work with Media</t>
  </si>
  <si>
    <t>Catholic Charities: Identifying, investigating, and resolving complaints that are made by, or on behalf of, residents.  Relate to action, inaction or decisions that may adversely affect the health, safety, welfare, or rights of the residents.  Monitoring the development and implementation of federal state policies and regulations related to long-term care facilities and Providing Information</t>
  </si>
  <si>
    <t xml:space="preserve">Full Multi-Year (FY23-FY25) Contract: $35,000.00 // Above award amount was budgeted obligation for FY24. Multi-Year Obligated Funds pulled from FY25 reserve to cover expenses.  </t>
  </si>
  <si>
    <t>Updating the KYTC road centerline network on behalf of counties and municipalities, which supports federal programs for aid appointment, the Highway Performance Monitoring System (HPMS), and the Financial Management Information System (FMIS).</t>
  </si>
  <si>
    <t xml:space="preserve">N/A - Unexpended funds represent a small percentage of the overall amount of the State grant.  </t>
  </si>
  <si>
    <t xml:space="preserve">Unexpended funds are a relatively small percentage (5%) of total funding.   Availability of local match funding and the ability to carryover these funds in Indiana contribute to limiting spending in this program. Underspending in FY 2025 should be limited due to increases in local match funding and due to the acquisition of new data products and subscriptions. </t>
  </si>
  <si>
    <t xml:space="preserve">KIPDA’s Public Administration Division houses six experienced professionals, four with Masters Degrees in Urban Planning. Staff is available to provide assistance to all units of government within the region and works with multiple boards and non-profits. 
KIPDA staff hosts and facilitates the KIPDA Municipal Clerks’ Association, KIPDA Regional Planning Council, and the Regional Hazard Mitigation Council. Staff facilitates the KIPDA Board of Directors’ monthly meetings. Staff is responsible for preparing the agenda, recording minutes, and transmitting all information to the Board and invited guests.   KIPDA staff secures and hosts trainings to provide continuing education opportunities to people across the Region. Trainings included: Tax Rate Calculation for Cities and SPGEs, Records Retention, HB 55 Planning Commissioners Training, Open Records and Open Meetings, Overtime Rules and Regulation, Codification of Statutes for Clerks, PVA Tax Training, KHC Training, County Budget Workshop, KAMM Regional Training, SPGE financial Disclosure Training, and SPGE Tax Rate Calculation. 
To provide transparency and share information, staff sends a monthly newsletter and completes an annual report on agency activities. Staff also completed the annual update to the local officials’ directory. Staff also provides social media updates on division activities, grant and loan application deadlines, project announcements, etc.                                            
                                                                                                                                                                                                                    As part of the EDA CARES Act funding, KIPDA staff has been assisting with planning and recovery in response to the COVID-19 pandemic.   KIPDA staff created the Resilient Kentuckiana website, and online tool that houses resources for local governments, businesses, and community members to assist with recovery during the pandemic. Staff is currently drafting the KIPDA Recovery and Resiliency Plan. Additionally, staff assisted DLG with contacting communities about their CARES funding and assisted with the required documentation                                                                                                                                                                                                                                                                                                      
                                                                                                                                                                                                                      KIPDA staff provided technical assistance on 61 projects totaling $516,112,301, submitted funding requests for 58 projects totaling $472,573,621 and received approval for 38 projects totaling  $33,133,781. Grant applications were submitted for all seven counties within the KIPDA Region. Funding sources pursued included FEMA, AFG, Crumb Rubber, CDBG, CDBG-CV, LWCF, Senate Bill 36 (Cleaner Water Grant Program), and SRF.              </t>
  </si>
  <si>
    <t>Project was completed for less than the original requested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</si>
</sst>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0" borderId="1" xfId="0" applyBorder="1" applyAlignment="1">
      <alignment wrapText="1"/>
    </xf>
    <xf numFmtId="44" fontId="0" fillId="0" borderId="0" xfId="2" applyFont="1"/>
    <xf numFmtId="0" fontId="2" fillId="0" borderId="0" xfId="0" applyFont="1"/>
    <xf numFmtId="44" fontId="0" fillId="0" borderId="0" xfId="2" applyFont="1" applyBorder="1"/>
    <xf numFmtId="44" fontId="3" fillId="0" borderId="1" xfId="2" applyFont="1" applyBorder="1" applyAlignment="1">
      <alignment horizontal="center" wrapText="1"/>
    </xf>
    <xf numFmtId="0" fontId="3" fillId="0" borderId="0" xfId="0" applyFont="1"/>
    <xf numFmtId="0" fontId="3" fillId="0" borderId="9" xfId="0" applyFont="1" applyBorder="1"/>
    <xf numFmtId="0" fontId="4" fillId="0" borderId="5" xfId="0" applyFont="1" applyBorder="1" applyAlignment="1">
      <alignment horizontal="center" wrapText="1"/>
    </xf>
    <xf numFmtId="44" fontId="3" fillId="0" borderId="1" xfId="2" applyFont="1" applyFill="1" applyBorder="1"/>
    <xf numFmtId="44" fontId="3" fillId="2" borderId="1" xfId="2" applyFont="1" applyFill="1" applyBorder="1"/>
    <xf numFmtId="10" fontId="3" fillId="0" borderId="1" xfId="3" applyNumberFormat="1" applyFont="1" applyBorder="1"/>
    <xf numFmtId="44" fontId="3" fillId="0" borderId="1" xfId="2" applyFont="1" applyBorder="1"/>
    <xf numFmtId="0" fontId="3" fillId="0" borderId="1" xfId="0" applyFont="1" applyBorder="1" applyAlignment="1">
      <alignment horizontal="left" vertical="top" wrapText="1"/>
    </xf>
    <xf numFmtId="165" fontId="0" fillId="0" borderId="2" xfId="2" applyNumberFormat="1" applyFont="1" applyBorder="1"/>
    <xf numFmtId="0" fontId="4" fillId="0" borderId="0" xfId="0" applyFont="1" applyAlignment="1">
      <alignment horizontal="center" vertical="top"/>
    </xf>
    <xf numFmtId="0" fontId="3" fillId="0" borderId="0" xfId="0" applyFont="1" applyAlignment="1">
      <alignment horizontal="center"/>
    </xf>
    <xf numFmtId="0" fontId="4" fillId="0" borderId="7" xfId="0" applyFont="1" applyBorder="1" applyAlignment="1">
      <alignment horizontal="center" vertical="top" wrapText="1"/>
    </xf>
    <xf numFmtId="0" fontId="3" fillId="0" borderId="8" xfId="0" applyFont="1" applyBorder="1"/>
    <xf numFmtId="0" fontId="4" fillId="0" borderId="5" xfId="0" applyFont="1" applyBorder="1" applyAlignment="1">
      <alignment horizontal="center" vertical="top" wrapText="1"/>
    </xf>
    <xf numFmtId="0" fontId="4" fillId="0" borderId="0" xfId="0" applyFont="1"/>
    <xf numFmtId="0" fontId="4" fillId="0" borderId="1" xfId="2" applyNumberFormat="1" applyFont="1" applyBorder="1" applyAlignment="1">
      <alignment horizontal="center" vertical="top" wrapText="1"/>
    </xf>
    <xf numFmtId="0" fontId="4" fillId="0" borderId="1" xfId="2" applyNumberFormat="1" applyFont="1" applyFill="1" applyBorder="1" applyAlignment="1">
      <alignment horizontal="center" vertical="top" wrapText="1"/>
    </xf>
    <xf numFmtId="0" fontId="4" fillId="0" borderId="1" xfId="3" applyNumberFormat="1" applyFont="1" applyBorder="1" applyAlignment="1">
      <alignment horizontal="center" vertical="top" wrapText="1"/>
    </xf>
    <xf numFmtId="0" fontId="4" fillId="0" borderId="1" xfId="0" applyFont="1" applyBorder="1" applyAlignment="1">
      <alignment horizontal="center" vertical="top" wrapText="1"/>
    </xf>
    <xf numFmtId="0" fontId="4" fillId="3" borderId="0" xfId="0" applyFont="1" applyFill="1" applyAlignment="1">
      <alignment horizontal="center" vertical="top"/>
    </xf>
    <xf numFmtId="0" fontId="4" fillId="0" borderId="1" xfId="0" applyFont="1" applyBorder="1" applyAlignment="1">
      <alignment horizontal="center" vertical="top"/>
    </xf>
    <xf numFmtId="44" fontId="3" fillId="0" borderId="1" xfId="2" applyFont="1" applyFill="1" applyBorder="1" applyAlignment="1">
      <alignment horizontal="center" wrapText="1"/>
    </xf>
    <xf numFmtId="44" fontId="3" fillId="0" borderId="0" xfId="0" applyNumberFormat="1" applyFont="1"/>
    <xf numFmtId="44" fontId="3" fillId="0" borderId="5" xfId="2" applyFont="1" applyBorder="1"/>
    <xf numFmtId="44" fontId="3" fillId="0" borderId="1" xfId="0" applyNumberFormat="1" applyFont="1" applyBorder="1" applyAlignment="1">
      <alignment horizontal="left" vertical="top" wrapText="1"/>
    </xf>
    <xf numFmtId="0" fontId="3" fillId="3" borderId="0" xfId="0" applyFont="1" applyFill="1" applyAlignment="1">
      <alignment horizontal="left" vertical="top"/>
    </xf>
    <xf numFmtId="44" fontId="3" fillId="3" borderId="0" xfId="0" applyNumberFormat="1" applyFont="1" applyFill="1" applyAlignment="1">
      <alignment horizontal="left" vertical="top"/>
    </xf>
    <xf numFmtId="0" fontId="3" fillId="0" borderId="0" xfId="0" applyFont="1" applyAlignment="1">
      <alignment horizontal="left" vertical="top" wrapText="1"/>
    </xf>
    <xf numFmtId="0" fontId="3" fillId="0" borderId="1" xfId="0" applyFont="1" applyBorder="1" applyAlignment="1">
      <alignment horizontal="left" vertical="top"/>
    </xf>
    <xf numFmtId="41" fontId="3" fillId="0" borderId="1" xfId="0" applyNumberFormat="1" applyFont="1" applyBorder="1" applyAlignment="1">
      <alignment horizontal="left" vertical="top"/>
    </xf>
    <xf numFmtId="41" fontId="3" fillId="0" borderId="1"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64" fontId="1" fillId="0" borderId="1" xfId="1" applyNumberFormat="1" applyFont="1" applyFill="1" applyBorder="1"/>
    <xf numFmtId="0" fontId="3" fillId="0" borderId="0" xfId="0" applyFont="1" applyAlignment="1">
      <alignment horizontal="left" vertical="top"/>
    </xf>
    <xf numFmtId="0" fontId="3" fillId="0" borderId="8" xfId="0" applyFont="1" applyBorder="1" applyAlignment="1">
      <alignment horizontal="center"/>
    </xf>
    <xf numFmtId="0" fontId="3" fillId="0" borderId="9" xfId="0" applyFont="1" applyBorder="1" applyAlignment="1">
      <alignment horizontal="center"/>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cellXfs>
  <cellStyles count="4">
    <cellStyle name="Comma" xfId="1" builtinId="3"/>
    <cellStyle name="Currency 2" xfId="2" xr:uid="{30375103-DEAB-4939-860E-6DC6C88994D2}"/>
    <cellStyle name="Normal" xfId="0" builtinId="0"/>
    <cellStyle name="Percent 2" xfId="3" xr:uid="{27E69230-80D6-485F-824B-5EC1E6BBA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Y%202024%20Aging%20Financial\DAIL%20Invoices\III%20B%20Invoice%20FY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Y%202024%20Aging%20Financial\DAIL%20Invoices\III%20B%20Omb%20Invoice%20FY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Y%202024%20Aging%20Financial\DAIL%20Invoices\III%20C1%20Invoice%20FY24-Revised%2010.12.23%20with%20SF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FY%202024%20Aging%20Financial\DAIL%20Invoices\III%20C2%20Invoice%20FY24-Revised%2010.12.23%20with%20SF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Y%202024%20Aging%20Financial\DAIL%20Invoices\III%20D%20Invoice%20FY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FY%202024%20Aging%20Financial\DAIL%20Invoices\III%20E%20Invoice%20FY24-Revised%207.27.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FY%202024%20Aging%20Financial\DAIL%20Invoices\VII%20EA%20Invoice%20FY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FY%202024%20Aging%20Financial\DAIL%20Invoices\VII%20OMB%20Invoice%20FY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FY%202024%20Aging%20Financial\DAIL%20Invoices\NSIP%20Invoice%20FY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FY%202024%20Aging%20Financial\DAIL%20Invoices\KYCG%20Invoice%20FY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FY%202024%20Aging%20Financial\DAIL%20Invoices\SLTCO%20Invoice%20FY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FY%202024%20Aging%20Financial\DAIL%20Invoices\Homecare%20Invoice%20FY24-Revised%2012.6.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FY%202024%20Aging%20Financial\DAIL%20Invoices\SHIP%20Invoice%20FY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FY%202023%20Aging%20Financial\DAIL%20Invoices\MIPPA%20SHIP%20Invoice%20FY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FY%202024%20Aging%20Financial\DAIL%20Invoices\MIPPA%20SHIP%20Invoice%20FY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FY%202023%20Aging%20Financial\DAIL%20Invoices\MIPPA%20AAA%20Invoice%20FY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FY%202024%20Aging%20Financial\DAIL%20Invoices\MIPPA%20AAA%20Invoice%20FY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FY%202023%20Aging%20Financial\DAIL%20Invoices\MIPPA%20ADRC%20Invoice%20FY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FY%202024%20Aging%20Financial\DAIL%20Invoices\MIPPA%20ADRC%20Invoice%20FY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FY%202024%20Aging%20Financial\DAIL%20Invoices\Medicaid%20ADRC%20Invoice%20FY24-Revised%207.6.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FY%202024%20Aging%20Financial\DAIL%20Invoices\ESMP%20Invoice%20FY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FY%202024%20Aging%20Financial\DAIL%20Invoices\ADVC%20FY24%20INVOICE%20-%20FINAL%2010.5.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FY%202024%20Aging%20Financial\DAIL%20Invoices\INNU%20FY24%20INVO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B July"/>
      <sheetName val="IIIB Aug"/>
      <sheetName val="IIIB Sept"/>
      <sheetName val="IIIB Oct"/>
      <sheetName val="IIIB Nov"/>
      <sheetName val="IIIB Dec"/>
      <sheetName val="IIIB Jan"/>
      <sheetName val="IIIB Feb"/>
      <sheetName val="IIIB Mar"/>
      <sheetName val="IIIB Apr"/>
      <sheetName val="IIIB May"/>
      <sheetName val="IIIB June-Final"/>
      <sheetName val="IIIB June-Audited"/>
      <sheetName val="ADD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D15">
            <v>22866.95</v>
          </cell>
        </row>
        <row r="31">
          <cell r="D31">
            <v>104632.95000000001</v>
          </cell>
          <cell r="E31">
            <v>104632.95</v>
          </cell>
        </row>
        <row r="55">
          <cell r="D55">
            <v>46580.29</v>
          </cell>
        </row>
        <row r="71">
          <cell r="D71">
            <v>1273625.5999999999</v>
          </cell>
          <cell r="E71">
            <v>2279520.5</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B OMB July"/>
      <sheetName val="B OMB Aug"/>
      <sheetName val="B OMB Sept"/>
      <sheetName val="B OMB Oct"/>
      <sheetName val="B OMB Nov"/>
      <sheetName val="B OMB Dec"/>
      <sheetName val="B OMB Jan"/>
      <sheetName val="B OMB Feb"/>
      <sheetName val="B OMB Mar"/>
      <sheetName val="B OMB Apr"/>
      <sheetName val="B OMB May"/>
      <sheetName val="B OMB June-Final"/>
      <sheetName val="B OMB June-Audited"/>
      <sheetName val="Payment Requ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6">
          <cell r="E16">
            <v>147765.66999999998</v>
          </cell>
        </row>
        <row r="22">
          <cell r="D22">
            <v>43640.380000000005</v>
          </cell>
        </row>
        <row r="23">
          <cell r="D23">
            <v>28431.000000000004</v>
          </cell>
        </row>
        <row r="24">
          <cell r="D24">
            <v>39149.449999999997</v>
          </cell>
        </row>
        <row r="25">
          <cell r="D25">
            <v>3887</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III C1 July"/>
      <sheetName val="III C1 August"/>
      <sheetName val="III C1 Sept"/>
      <sheetName val="III C1 Oct"/>
      <sheetName val="III C1 Nov"/>
      <sheetName val="III C1 Dec"/>
      <sheetName val="III C1 Jan"/>
      <sheetName val="III C1 Feb"/>
      <sheetName val="III C1 Mar"/>
      <sheetName val="III C1 Apr"/>
      <sheetName val="III C1 May"/>
      <sheetName val="III C1 June-Estimate"/>
      <sheetName val="III C1 June-Final"/>
      <sheetName val="III C1 June-Audi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5">
          <cell r="D15">
            <v>24786.11</v>
          </cell>
        </row>
        <row r="17">
          <cell r="D17">
            <v>121460.51</v>
          </cell>
          <cell r="E17">
            <v>121760</v>
          </cell>
        </row>
        <row r="55">
          <cell r="D55">
            <v>5617.71</v>
          </cell>
        </row>
        <row r="71">
          <cell r="D71">
            <v>1051356.94</v>
          </cell>
          <cell r="E71">
            <v>1438545.57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III C2 July"/>
      <sheetName val="III C2 August"/>
      <sheetName val="III C2 Sept"/>
      <sheetName val="III C2 Oct"/>
      <sheetName val="III C2 Nov"/>
      <sheetName val="III C2 Dec"/>
      <sheetName val="III C2 Jan"/>
      <sheetName val="III C2 Feb"/>
      <sheetName val="III C2 Mar"/>
      <sheetName val="III C2 Apr"/>
      <sheetName val="III C2 May"/>
      <sheetName val="III C2 June-Final"/>
      <sheetName val="III C2 June-Audi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19129.250000000004</v>
          </cell>
        </row>
        <row r="17">
          <cell r="D17">
            <v>96100.03</v>
          </cell>
        </row>
        <row r="31">
          <cell r="E31">
            <v>100221</v>
          </cell>
        </row>
        <row r="55">
          <cell r="D55">
            <v>33228.75</v>
          </cell>
        </row>
        <row r="71">
          <cell r="D71">
            <v>2273177.8925000001</v>
          </cell>
          <cell r="E71">
            <v>2378660.17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D July"/>
      <sheetName val="IIID August"/>
      <sheetName val="IIID Sept"/>
      <sheetName val="IIID Oct"/>
      <sheetName val="IIID Nov"/>
      <sheetName val="IIID Dec"/>
      <sheetName val="IIID Jan"/>
      <sheetName val="IIID Feb"/>
      <sheetName val="IIID Mar"/>
      <sheetName val="IIID Apr"/>
      <sheetName val="IIID May"/>
      <sheetName val="IIID June-Est"/>
      <sheetName val="IIID June-Final"/>
      <sheetName val="IIID June-Audited"/>
      <sheetName val="AD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E17">
            <v>198442</v>
          </cell>
        </row>
        <row r="30">
          <cell r="D30">
            <v>48865.53</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IIIE July"/>
      <sheetName val="IIIE August"/>
      <sheetName val="IIIE Sept"/>
      <sheetName val="IIIE Oct"/>
      <sheetName val="IIIE Nov"/>
      <sheetName val="IIIE Dec"/>
      <sheetName val="IIIE Jan"/>
      <sheetName val="IIIE Feb"/>
      <sheetName val="IIIE Mar"/>
      <sheetName val="IIIE Apr"/>
      <sheetName val="IIIE-May"/>
      <sheetName val="IIIE June-Final"/>
      <sheetName val="IIIE June-Audi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7835.5</v>
          </cell>
        </row>
        <row r="27">
          <cell r="D27">
            <v>9063.2474999999995</v>
          </cell>
        </row>
        <row r="30">
          <cell r="E30">
            <v>27900</v>
          </cell>
        </row>
        <row r="31">
          <cell r="D31">
            <v>36252.989999999991</v>
          </cell>
        </row>
        <row r="53">
          <cell r="D53">
            <v>45051.14</v>
          </cell>
        </row>
        <row r="68">
          <cell r="D68">
            <v>568791.84970000002</v>
          </cell>
          <cell r="E68">
            <v>897217.37</v>
          </cell>
        </row>
        <row r="80">
          <cell r="D80">
            <v>54760.290300000001</v>
          </cell>
          <cell r="E80">
            <v>112909.95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VII EA July"/>
      <sheetName val="VII EA Aug"/>
      <sheetName val="VII EA Sept"/>
      <sheetName val="VII EA Oct"/>
      <sheetName val="VII EA Nov"/>
      <sheetName val="VII EA Dec"/>
      <sheetName val="VII EA Jan"/>
      <sheetName val="VII EA Feb"/>
      <sheetName val="VII EA Mar"/>
      <sheetName val="VII EA Apr"/>
      <sheetName val="VII EA May"/>
      <sheetName val="VII EA June-Est"/>
      <sheetName val="VII EA June-Final"/>
      <sheetName val="VII EA June-Audi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D20">
            <v>8043.4500000000007</v>
          </cell>
          <cell r="E20">
            <v>8310</v>
          </cell>
        </row>
        <row r="21">
          <cell r="D21">
            <v>1499.01</v>
          </cell>
          <cell r="E21">
            <v>1499.01</v>
          </cell>
        </row>
        <row r="22">
          <cell r="D22">
            <v>547</v>
          </cell>
          <cell r="E22">
            <v>547</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VII OMB July"/>
      <sheetName val="VII OMB Aug"/>
      <sheetName val="VII OMB Sept"/>
      <sheetName val="VII OMB Oct"/>
      <sheetName val="VII OMB Nov"/>
      <sheetName val="VII OMB Dec"/>
      <sheetName val="VII OMB Jan"/>
      <sheetName val="VII OMB Feb"/>
      <sheetName val="VII OMB Mar"/>
      <sheetName val="VII OMB Apr"/>
      <sheetName val="VII OMB May"/>
      <sheetName val="VII OMB June-Final"/>
      <sheetName val="VII OMB June-Audi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D21">
            <v>21951.260000000002</v>
          </cell>
          <cell r="E21">
            <v>22246</v>
          </cell>
        </row>
        <row r="22">
          <cell r="D22">
            <v>21966.580000000005</v>
          </cell>
          <cell r="E22">
            <v>21966.58</v>
          </cell>
        </row>
        <row r="24">
          <cell r="D24">
            <v>3335.13</v>
          </cell>
          <cell r="E24">
            <v>3377</v>
          </cell>
        </row>
        <row r="26">
          <cell r="D26">
            <v>1152</v>
          </cell>
          <cell r="E26">
            <v>1152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NSIP October"/>
      <sheetName val="NSIP November"/>
      <sheetName val="NSIP December"/>
      <sheetName val="NSIP January"/>
      <sheetName val="NSIP February"/>
      <sheetName val="NSIP March"/>
      <sheetName val="NSIP April"/>
      <sheetName val="NSIP May"/>
      <sheetName val="NSIP June"/>
      <sheetName val="NSIP July"/>
      <sheetName val="NSIP August"/>
      <sheetName val="NSIP September"/>
      <sheetName val="NSIP September Audited"/>
    </sheetNames>
    <sheetDataSet>
      <sheetData sheetId="0"/>
      <sheetData sheetId="1"/>
      <sheetData sheetId="2"/>
      <sheetData sheetId="3"/>
      <sheetData sheetId="4"/>
      <sheetData sheetId="5"/>
      <sheetData sheetId="6"/>
      <sheetData sheetId="7"/>
      <sheetData sheetId="8"/>
      <sheetData sheetId="9">
        <row r="19">
          <cell r="D19">
            <v>204826.34999999998</v>
          </cell>
          <cell r="E19">
            <v>204831.5</v>
          </cell>
        </row>
      </sheetData>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CG July"/>
      <sheetName val="KYCG Aug"/>
      <sheetName val="KYCG Sept"/>
      <sheetName val="KYCG Oct"/>
      <sheetName val="KYCG Nov"/>
      <sheetName val="KYCG Dec"/>
      <sheetName val="KYCG Jan"/>
      <sheetName val="KYCG Feb"/>
      <sheetName val="KYCG Mar"/>
      <sheetName val="KYCG Apr"/>
      <sheetName val="KYCG May"/>
      <sheetName val="KYCG June-Est"/>
      <sheetName val="KYCG June-Final"/>
      <sheetName val="KYCG June-Audite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4464.28</v>
          </cell>
        </row>
        <row r="22">
          <cell r="D22">
            <v>19325</v>
          </cell>
        </row>
        <row r="26">
          <cell r="E26">
            <v>19325</v>
          </cell>
        </row>
        <row r="48">
          <cell r="D48">
            <v>27326.86</v>
          </cell>
        </row>
        <row r="59">
          <cell r="D59">
            <v>268246.43</v>
          </cell>
          <cell r="E59">
            <v>268248</v>
          </cell>
        </row>
      </sheetData>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SLTCO Jul"/>
      <sheetName val="SLTCO Aug"/>
      <sheetName val="SLTCO Sept"/>
      <sheetName val="SLTCO Oct"/>
      <sheetName val="SLTCO Nov"/>
      <sheetName val="SLTCO Dec"/>
      <sheetName val="SLTCO Jan"/>
      <sheetName val="SLTCO Feb"/>
      <sheetName val="SLTCO Mar"/>
      <sheetName val="SLTCO Apr"/>
      <sheetName val="SLTCO May"/>
      <sheetName val="SLTCO June-Est"/>
      <sheetName val="SLTCO June-Final"/>
      <sheetName val="SLTCO June-Audited"/>
      <sheetName val="Payment Requ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6">
          <cell r="D26">
            <v>152968.83000000002</v>
          </cell>
          <cell r="E26">
            <v>164924</v>
          </cell>
        </row>
      </sheetData>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HC July"/>
      <sheetName val="HC Aug"/>
      <sheetName val="HC Sept"/>
      <sheetName val="HC Oct"/>
      <sheetName val="HC Nov"/>
      <sheetName val="HC Dec"/>
      <sheetName val="HC Jan"/>
      <sheetName val="HC Feb"/>
      <sheetName val="HC Mar"/>
      <sheetName val="HC Apr"/>
      <sheetName val="HC May"/>
      <sheetName val="HC June-Est"/>
      <sheetName val="HC June-Final"/>
      <sheetName val="HC June-Audi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5">
          <cell r="D15">
            <v>78525.740000000005</v>
          </cell>
        </row>
        <row r="22">
          <cell r="D22">
            <v>370165.00000000006</v>
          </cell>
        </row>
        <row r="26">
          <cell r="E26">
            <v>370165</v>
          </cell>
        </row>
        <row r="49">
          <cell r="D49">
            <v>214397.04</v>
          </cell>
        </row>
        <row r="56">
          <cell r="D56">
            <v>2144527.2799999998</v>
          </cell>
          <cell r="E56">
            <v>2172742.02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 July"/>
      <sheetName val="SHIP August"/>
      <sheetName val="SHIP September"/>
      <sheetName val="SHIP October"/>
      <sheetName val="SHIP November"/>
      <sheetName val="SHIP December"/>
      <sheetName val="SHIP January"/>
      <sheetName val="SHIP February"/>
      <sheetName val="SHIP March"/>
      <sheetName val="SHIP April"/>
      <sheetName val="SHIP May"/>
      <sheetName val="SHIP June Estimated"/>
      <sheetName val="SHIP June Final"/>
      <sheetName val="SHIP June Audited"/>
      <sheetName val="AD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6">
          <cell r="D16">
            <v>2161.73</v>
          </cell>
        </row>
        <row r="17">
          <cell r="D17">
            <v>8998.66</v>
          </cell>
          <cell r="E17">
            <v>9000</v>
          </cell>
        </row>
        <row r="50">
          <cell r="D50">
            <v>20394.990000000002</v>
          </cell>
        </row>
        <row r="51">
          <cell r="D51">
            <v>100978.4</v>
          </cell>
          <cell r="E51">
            <v>101000</v>
          </cell>
        </row>
      </sheetData>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 MIPPA SHIP September"/>
      <sheetName val=" MIPPA SHIP October"/>
      <sheetName val=" MIPPA SHIP November"/>
      <sheetName val=" MIPPA SHIP December"/>
      <sheetName val=" MIPPA SHIP January"/>
      <sheetName val=" MIPPA SHIP February"/>
      <sheetName val=" MIPPA SHIP March"/>
      <sheetName val=" MIPPA SHIP April"/>
      <sheetName val=" MIPPA SHIP May"/>
      <sheetName val=" MIPPA SHIP June"/>
      <sheetName val=" MIPPA SHIP July"/>
      <sheetName val=" MIPPA SHIP August "/>
      <sheetName val=" MIPPA SHIP August Final"/>
    </sheetNames>
    <sheetDataSet>
      <sheetData sheetId="0"/>
      <sheetData sheetId="1"/>
      <sheetData sheetId="2"/>
      <sheetData sheetId="3"/>
      <sheetData sheetId="4"/>
      <sheetData sheetId="5"/>
      <sheetData sheetId="6"/>
      <sheetData sheetId="7"/>
      <sheetData sheetId="8"/>
      <sheetData sheetId="9"/>
      <sheetData sheetId="10">
        <row r="24">
          <cell r="F24">
            <v>21318.820000000003</v>
          </cell>
        </row>
      </sheetData>
      <sheetData sheetId="11">
        <row r="17">
          <cell r="C17">
            <v>202.43</v>
          </cell>
        </row>
        <row r="18">
          <cell r="C18">
            <v>1405.36</v>
          </cell>
        </row>
      </sheetData>
      <sheetData sheetId="12">
        <row r="17">
          <cell r="C17">
            <v>874.82999999999993</v>
          </cell>
        </row>
        <row r="18">
          <cell r="C18">
            <v>3793.1800000000003</v>
          </cell>
        </row>
      </sheetData>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 MIPPA SHIP September"/>
      <sheetName val=" MIPPA SHIP October"/>
      <sheetName val=" MIPPA SHIP November"/>
      <sheetName val=" MIPPA SHIP December"/>
      <sheetName val=" MIPPA SHIP January"/>
      <sheetName val=" MIPPA SHIP February"/>
      <sheetName val=" MIPPA SHIP March"/>
      <sheetName val=" MIPPA SHIP April"/>
      <sheetName val=" MIPPA SHIP May"/>
      <sheetName val=" MIPPA SHIP June"/>
      <sheetName val=" MIPPA SHIP July"/>
      <sheetName val=" MIPPA SHIP August "/>
      <sheetName val=" MIPPA SHIP August Final"/>
    </sheetNames>
    <sheetDataSet>
      <sheetData sheetId="0"/>
      <sheetData sheetId="1"/>
      <sheetData sheetId="2"/>
      <sheetData sheetId="3"/>
      <sheetData sheetId="4"/>
      <sheetData sheetId="5"/>
      <sheetData sheetId="6"/>
      <sheetData sheetId="7"/>
      <sheetData sheetId="8"/>
      <sheetData sheetId="9"/>
      <sheetData sheetId="10">
        <row r="17">
          <cell r="D17">
            <v>6939.5</v>
          </cell>
        </row>
        <row r="18">
          <cell r="D18">
            <v>33813.97</v>
          </cell>
          <cell r="E18">
            <v>36023</v>
          </cell>
        </row>
      </sheetData>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MIPPA AAA September"/>
      <sheetName val=" MIPPA AAA October"/>
      <sheetName val=" MIPPA AAA November"/>
      <sheetName val=" MIPPA AAA December"/>
      <sheetName val=" MIPPA AAA January"/>
      <sheetName val=" MIPPA AAA February"/>
      <sheetName val=" MIPPA AAA March"/>
      <sheetName val=" MIPPA AAA April"/>
      <sheetName val=" MIPPA AAA May"/>
      <sheetName val=" MIPPA AAA June"/>
      <sheetName val=" MIPPA AAA July"/>
      <sheetName val=" MIPPA AAA August"/>
      <sheetName val=" MIPPA AAA August Final"/>
    </sheetNames>
    <sheetDataSet>
      <sheetData sheetId="0"/>
      <sheetData sheetId="1"/>
      <sheetData sheetId="2"/>
      <sheetData sheetId="3"/>
      <sheetData sheetId="4"/>
      <sheetData sheetId="5"/>
      <sheetData sheetId="6"/>
      <sheetData sheetId="7"/>
      <sheetData sheetId="8"/>
      <sheetData sheetId="9"/>
      <sheetData sheetId="10">
        <row r="24">
          <cell r="F24">
            <v>27500.330000000005</v>
          </cell>
        </row>
      </sheetData>
      <sheetData sheetId="11">
        <row r="17">
          <cell r="C17">
            <v>100.45</v>
          </cell>
        </row>
        <row r="18">
          <cell r="C18">
            <v>698.66000000000008</v>
          </cell>
        </row>
      </sheetData>
      <sheetData sheetId="12">
        <row r="17">
          <cell r="C17">
            <v>664.9799999999999</v>
          </cell>
        </row>
        <row r="18">
          <cell r="C18">
            <v>2829.6400000000003</v>
          </cell>
        </row>
      </sheetData>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MIPPA AAA September"/>
      <sheetName val=" MIPPA AAA October"/>
      <sheetName val=" MIPPA AAA November"/>
      <sheetName val=" MIPPA AAA December"/>
      <sheetName val=" MIPPA AAA January"/>
      <sheetName val=" MIPPA AAA February"/>
      <sheetName val=" MIPPA AAA March"/>
      <sheetName val=" MIPPA AAA April"/>
      <sheetName val=" MIPPA AAA May"/>
      <sheetName val=" MIPPA AAA June"/>
      <sheetName val=" MIPPA AAA July"/>
      <sheetName val=" MIPPA AAA August"/>
      <sheetName val=" MIPPA AAA August Final"/>
    </sheetNames>
    <sheetDataSet>
      <sheetData sheetId="0"/>
      <sheetData sheetId="1"/>
      <sheetData sheetId="2"/>
      <sheetData sheetId="3"/>
      <sheetData sheetId="4"/>
      <sheetData sheetId="5"/>
      <sheetData sheetId="6"/>
      <sheetData sheetId="7"/>
      <sheetData sheetId="8"/>
      <sheetData sheetId="9"/>
      <sheetData sheetId="10">
        <row r="18">
          <cell r="E18">
            <v>36689</v>
          </cell>
        </row>
      </sheetData>
      <sheetData sheetId="11"/>
      <sheetData sheetId="12">
        <row r="17">
          <cell r="D17">
            <v>7798.03</v>
          </cell>
        </row>
        <row r="18">
          <cell r="D18">
            <v>35291.399999999994</v>
          </cell>
        </row>
      </sheetData>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 MIPPA ADRC September"/>
      <sheetName val=" MIPPA ADRC October"/>
      <sheetName val=" MIPPA ADRC November"/>
      <sheetName val=" MIPPA ADRC December"/>
      <sheetName val=" MIPPA ADRC January"/>
      <sheetName val=" MIPPA ADRC February"/>
      <sheetName val=" MIPPA ADRC March"/>
      <sheetName val=" MIPPA ADRC April"/>
      <sheetName val=" MIPPA ADRC May"/>
      <sheetName val=" MIPPA ADRC June"/>
      <sheetName val=" MIPPA ADRC July"/>
      <sheetName val=" MIPPA ADRC August"/>
      <sheetName val=" MIPPA ADRC August Final"/>
    </sheetNames>
    <sheetDataSet>
      <sheetData sheetId="0"/>
      <sheetData sheetId="1"/>
      <sheetData sheetId="2"/>
      <sheetData sheetId="3"/>
      <sheetData sheetId="4"/>
      <sheetData sheetId="5"/>
      <sheetData sheetId="6"/>
      <sheetData sheetId="7"/>
      <sheetData sheetId="8"/>
      <sheetData sheetId="9"/>
      <sheetData sheetId="10">
        <row r="24">
          <cell r="F24">
            <v>190.78999999999951</v>
          </cell>
        </row>
      </sheetData>
      <sheetData sheetId="11">
        <row r="18">
          <cell r="C18">
            <v>114.46999999999997</v>
          </cell>
        </row>
      </sheetData>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 MIPPA ADRC September"/>
      <sheetName val=" MIPPA ADRC October"/>
      <sheetName val=" MIPPA ADRC November"/>
      <sheetName val=" MIPPA ADRC December"/>
      <sheetName val=" MIPPA ADRC January"/>
      <sheetName val=" MIPPA ADRC February"/>
      <sheetName val=" MIPPA ADRC March"/>
      <sheetName val=" MIPPA ADRC April"/>
      <sheetName val=" MIPPA ADRC May"/>
      <sheetName val=" MIPPA ADRC June"/>
      <sheetName val=" MIPPA ADRC July"/>
      <sheetName val=" MIPPA ADRC August"/>
      <sheetName val=" MIPPA ADRC August Final"/>
    </sheetNames>
    <sheetDataSet>
      <sheetData sheetId="0"/>
      <sheetData sheetId="1"/>
      <sheetData sheetId="2"/>
      <sheetData sheetId="3"/>
      <sheetData sheetId="4"/>
      <sheetData sheetId="5"/>
      <sheetData sheetId="6"/>
      <sheetData sheetId="7"/>
      <sheetData sheetId="8"/>
      <sheetData sheetId="9"/>
      <sheetData sheetId="10">
        <row r="17">
          <cell r="D17">
            <v>988.48</v>
          </cell>
        </row>
        <row r="18">
          <cell r="D18">
            <v>3855.3399999999997</v>
          </cell>
          <cell r="E18">
            <v>3858</v>
          </cell>
        </row>
      </sheetData>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ADRC July"/>
      <sheetName val="ADRC August"/>
      <sheetName val="ADRC September"/>
      <sheetName val="ADRC October"/>
      <sheetName val="ADRC November"/>
      <sheetName val="ADRC December"/>
      <sheetName val="ADRC January"/>
      <sheetName val="ADRC February"/>
      <sheetName val="ADRC March"/>
      <sheetName val="ADRC April"/>
      <sheetName val="ADRC May"/>
      <sheetName val="ADRC June Final"/>
      <sheetName val="ADRC June Audited"/>
      <sheetName val="ADRC June 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D20">
            <v>134150</v>
          </cell>
          <cell r="E20">
            <v>200000</v>
          </cell>
        </row>
      </sheetData>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MP July"/>
      <sheetName val="ESMP Aug"/>
      <sheetName val="ESMP Sept"/>
      <sheetName val="ESMP Oct"/>
      <sheetName val="ESMP Nov"/>
      <sheetName val="ESMP Dec"/>
      <sheetName val="ESMP Jan"/>
      <sheetName val="ESMP Feb"/>
      <sheetName val="ESMP Mar"/>
      <sheetName val="ESMP Apr"/>
      <sheetName val="ESMP June-Est"/>
      <sheetName val="ESMP May"/>
      <sheetName val="ESMP June-Final"/>
      <sheetName val="ESMP June-Audited"/>
      <sheetName val="AD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16930.87</v>
          </cell>
        </row>
        <row r="16">
          <cell r="D16">
            <v>73767.399999999994</v>
          </cell>
        </row>
        <row r="26">
          <cell r="E26">
            <v>74257.73</v>
          </cell>
        </row>
        <row r="50">
          <cell r="D50">
            <v>5689.1400000000031</v>
          </cell>
        </row>
        <row r="61">
          <cell r="D61">
            <v>988464.01750000007</v>
          </cell>
          <cell r="E61">
            <v>990103.04000000004</v>
          </cell>
        </row>
      </sheetData>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ADVC July"/>
      <sheetName val="ADVC Aug"/>
      <sheetName val="ADVC Sept"/>
      <sheetName val="ADVC Oct"/>
      <sheetName val="ADVC Nov"/>
      <sheetName val="ADVC Dec"/>
      <sheetName val="ADVC Jan"/>
      <sheetName val="ADVC Feb"/>
      <sheetName val="ADVC Mar"/>
      <sheetName val="ADVC Apr"/>
      <sheetName val="ADVC May"/>
      <sheetName val="ADVC June-Est"/>
      <sheetName val="ADVC June-Final"/>
      <sheetName val="ADVC June-Audi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2">
          <cell r="D42">
            <v>3088.6500000000005</v>
          </cell>
        </row>
        <row r="43">
          <cell r="D43">
            <v>57070.25</v>
          </cell>
          <cell r="E43">
            <v>77000</v>
          </cell>
        </row>
      </sheetData>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s"/>
      <sheetName val="INNU July"/>
      <sheetName val="INNU Aug"/>
      <sheetName val="INNU Sept"/>
      <sheetName val="INNU Oct"/>
      <sheetName val="INNU Nov"/>
      <sheetName val="INNU Dec"/>
      <sheetName val="INNU Jan"/>
      <sheetName val="INNU Feb"/>
      <sheetName val="INNU Mar"/>
      <sheetName val="INNU Apr"/>
      <sheetName val="INNU May"/>
      <sheetName val="INNU June-Est"/>
      <sheetName val="INNU June-Final"/>
      <sheetName val="INNU June-Audited"/>
    </sheetNames>
    <sheetDataSet>
      <sheetData sheetId="0"/>
      <sheetData sheetId="1"/>
      <sheetData sheetId="2"/>
      <sheetData sheetId="3"/>
      <sheetData sheetId="4"/>
      <sheetData sheetId="5"/>
      <sheetData sheetId="6"/>
      <sheetData sheetId="7"/>
      <sheetData sheetId="8"/>
      <sheetData sheetId="9"/>
      <sheetData sheetId="10"/>
      <sheetData sheetId="11">
        <row r="42">
          <cell r="D42">
            <v>838.2600000000001</v>
          </cell>
        </row>
        <row r="43">
          <cell r="E43">
            <v>3501</v>
          </cell>
        </row>
        <row r="49">
          <cell r="D49">
            <v>3487.67</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195F-AB6A-4CFE-BFD3-3D84E0D616AD}">
  <dimension ref="A1:AY55"/>
  <sheetViews>
    <sheetView tabSelected="1" workbookViewId="0">
      <pane xSplit="1" ySplit="3" topLeftCell="B4" activePane="bottomRight" state="frozen"/>
      <selection pane="topRight" activeCell="B1" sqref="B1"/>
      <selection pane="bottomLeft" activeCell="A4" sqref="A4"/>
      <selection pane="bottomRight" activeCell="E18" sqref="E18"/>
    </sheetView>
  </sheetViews>
  <sheetFormatPr defaultColWidth="9.140625" defaultRowHeight="15" x14ac:dyDescent="0.25"/>
  <cols>
    <col min="1" max="1" width="24.5703125" style="15" customWidth="1"/>
    <col min="2" max="22" width="24.85546875" style="6" customWidth="1"/>
    <col min="23" max="51" width="24.7109375" style="6" customWidth="1"/>
    <col min="52" max="16384" width="9.140625" style="6"/>
  </cols>
  <sheetData>
    <row r="1" spans="1:51" ht="15.75" thickBot="1" x14ac:dyDescent="0.3">
      <c r="G1" s="28"/>
      <c r="I1" s="28"/>
      <c r="AS1" s="16"/>
    </row>
    <row r="2" spans="1:51" ht="15.75" thickBot="1" x14ac:dyDescent="0.3">
      <c r="A2" s="17"/>
      <c r="B2" s="42"/>
      <c r="C2" s="43"/>
      <c r="D2" s="43"/>
      <c r="E2" s="43"/>
      <c r="F2" s="43"/>
      <c r="G2" s="43"/>
      <c r="H2" s="43"/>
      <c r="I2" s="43"/>
      <c r="J2" s="43"/>
      <c r="K2" s="43"/>
      <c r="L2" s="43"/>
      <c r="M2" s="43"/>
      <c r="N2" s="43"/>
      <c r="O2" s="43"/>
      <c r="P2" s="43"/>
      <c r="Q2" s="43"/>
      <c r="R2" s="43"/>
      <c r="S2" s="43"/>
      <c r="T2" s="43"/>
      <c r="U2" s="18"/>
      <c r="V2" s="7"/>
      <c r="W2" s="7"/>
      <c r="X2" s="7"/>
      <c r="Y2" s="7"/>
      <c r="Z2" s="7"/>
      <c r="AA2" s="7"/>
      <c r="AB2" s="7"/>
      <c r="AC2" s="7"/>
      <c r="AD2" s="7"/>
      <c r="AE2" s="7"/>
      <c r="AF2" s="7"/>
      <c r="AG2" s="7"/>
      <c r="AH2" s="7"/>
      <c r="AI2" s="7"/>
      <c r="AJ2" s="7"/>
      <c r="AK2" s="7"/>
      <c r="AL2" s="7"/>
      <c r="AM2" s="7"/>
      <c r="AN2" s="7"/>
      <c r="AO2" s="7"/>
      <c r="AP2" s="7"/>
      <c r="AQ2" s="7"/>
      <c r="AR2" s="18"/>
      <c r="AS2" s="7"/>
      <c r="AT2" s="7"/>
      <c r="AU2" s="7"/>
      <c r="AV2" s="7"/>
      <c r="AW2" s="7"/>
      <c r="AX2" s="7"/>
      <c r="AY2" s="7"/>
    </row>
    <row r="3" spans="1:51" s="20" customFormat="1" ht="30" x14ac:dyDescent="0.25">
      <c r="A3" s="19"/>
      <c r="B3" s="8" t="s">
        <v>0</v>
      </c>
      <c r="C3" s="8" t="s">
        <v>1</v>
      </c>
      <c r="D3" s="8" t="s">
        <v>2</v>
      </c>
      <c r="E3" s="8" t="s">
        <v>3</v>
      </c>
      <c r="F3" s="8" t="s">
        <v>4</v>
      </c>
      <c r="G3" s="8" t="s">
        <v>5</v>
      </c>
      <c r="H3" s="8" t="s">
        <v>6</v>
      </c>
      <c r="I3" s="8" t="s">
        <v>7</v>
      </c>
      <c r="J3" s="8" t="s">
        <v>134</v>
      </c>
      <c r="K3" s="8" t="s">
        <v>135</v>
      </c>
      <c r="L3" s="8" t="s">
        <v>8</v>
      </c>
      <c r="M3" s="8" t="s">
        <v>9</v>
      </c>
      <c r="N3" s="8" t="s">
        <v>10</v>
      </c>
      <c r="O3" s="8" t="s">
        <v>11</v>
      </c>
      <c r="P3" s="8" t="s">
        <v>136</v>
      </c>
      <c r="Q3" s="8" t="s">
        <v>137</v>
      </c>
      <c r="R3" s="8" t="s">
        <v>138</v>
      </c>
      <c r="S3" s="8" t="s">
        <v>139</v>
      </c>
      <c r="T3" s="8" t="s">
        <v>140</v>
      </c>
      <c r="U3" s="8" t="s">
        <v>141</v>
      </c>
      <c r="V3" s="8" t="s">
        <v>12</v>
      </c>
      <c r="W3" s="8" t="s">
        <v>13</v>
      </c>
      <c r="X3" s="8" t="s">
        <v>142</v>
      </c>
      <c r="Y3" s="8" t="s">
        <v>143</v>
      </c>
      <c r="Z3" s="8" t="s">
        <v>79</v>
      </c>
      <c r="AA3" s="8" t="s">
        <v>118</v>
      </c>
      <c r="AB3" s="8" t="s">
        <v>80</v>
      </c>
      <c r="AC3" s="8" t="s">
        <v>81</v>
      </c>
      <c r="AD3" s="8" t="s">
        <v>120</v>
      </c>
      <c r="AE3" s="8" t="s">
        <v>82</v>
      </c>
      <c r="AF3" s="8" t="s">
        <v>83</v>
      </c>
      <c r="AG3" s="8" t="s">
        <v>84</v>
      </c>
      <c r="AH3" s="8" t="s">
        <v>85</v>
      </c>
      <c r="AI3" s="8" t="s">
        <v>86</v>
      </c>
      <c r="AJ3" s="8" t="s">
        <v>87</v>
      </c>
      <c r="AK3" s="8" t="s">
        <v>88</v>
      </c>
      <c r="AL3" s="8" t="s">
        <v>121</v>
      </c>
      <c r="AM3" s="8" t="s">
        <v>89</v>
      </c>
      <c r="AN3" s="8" t="s">
        <v>14</v>
      </c>
      <c r="AO3" s="8" t="s">
        <v>15</v>
      </c>
      <c r="AP3" s="8" t="s">
        <v>90</v>
      </c>
      <c r="AQ3" s="8" t="s">
        <v>16</v>
      </c>
      <c r="AR3" s="8" t="s">
        <v>18</v>
      </c>
      <c r="AS3" s="8" t="s">
        <v>17</v>
      </c>
      <c r="AT3" s="8" t="s">
        <v>20</v>
      </c>
      <c r="AU3" s="8" t="s">
        <v>19</v>
      </c>
      <c r="AV3" s="8" t="s">
        <v>91</v>
      </c>
      <c r="AW3" s="8" t="s">
        <v>122</v>
      </c>
      <c r="AX3" s="8" t="s">
        <v>123</v>
      </c>
      <c r="AY3" s="8" t="s">
        <v>124</v>
      </c>
    </row>
    <row r="4" spans="1:51" x14ac:dyDescent="0.25">
      <c r="A4" s="21" t="s">
        <v>21</v>
      </c>
      <c r="B4" s="29">
        <f>'[1]IIIB June-Audited'!$E$71+'[1]IIIB June-Audited'!$E$31</f>
        <v>2384153.4500000002</v>
      </c>
      <c r="C4" s="29">
        <f>'[2]B OMB June-Audited'!$E$16</f>
        <v>147765.66999999998</v>
      </c>
      <c r="D4" s="5">
        <f>'[3]III C1 June-Audited'!$E$17+'[3]III C1 June-Audited'!$E$71</f>
        <v>1560305.57</v>
      </c>
      <c r="E4" s="5">
        <f>'[4]III C2 June-Audited'!$E$31+'[4]III C2 June-Audited'!$E$71</f>
        <v>2478881.17</v>
      </c>
      <c r="F4" s="5">
        <f>'[5]IIID June-Audited'!$E$17</f>
        <v>198442</v>
      </c>
      <c r="G4" s="5">
        <f>'[6]IIIE June-Audited'!$E$30+'[6]IIIE June-Audited'!$E$68+'[6]IIIE June-Audited'!$E$80</f>
        <v>1038027.32</v>
      </c>
      <c r="H4" s="5">
        <f>'[7]VII EA June-Final'!$E$20+'[7]VII EA June-Final'!$E$21+'[7]VII EA June-Final'!$E$22</f>
        <v>10356.01</v>
      </c>
      <c r="I4" s="5">
        <f>'[8]VII OMB June-Audited'!$E$21+'[8]VII OMB June-Audited'!$E$22+'[8]VII OMB June-Audited'!$E$24+'[8]VII OMB June-Audited'!$E$26</f>
        <v>48741.58</v>
      </c>
      <c r="J4" s="5">
        <v>0</v>
      </c>
      <c r="K4" s="5">
        <f>'[9]NSIP June'!$E$19</f>
        <v>204831.5</v>
      </c>
      <c r="L4" s="5">
        <f>'[10]KYCG June-Audited'!$E$26+'[10]KYCG June-Audited'!$E$59</f>
        <v>287573</v>
      </c>
      <c r="M4" s="5">
        <f>'[11]SLTCO June-Audited'!$E$26</f>
        <v>164924</v>
      </c>
      <c r="N4" s="5">
        <f>'[12]HC June-Audited'!$E$26+'[12]HC June-Audited'!$E$56</f>
        <v>2542907.02</v>
      </c>
      <c r="O4" s="5">
        <f>'[13]SHIP June Audited'!$E$17+'[13]SHIP June Audited'!$E$51</f>
        <v>110000</v>
      </c>
      <c r="P4" s="5">
        <f>'[14] MIPPA SHIP June'!$F$24</f>
        <v>21318.820000000003</v>
      </c>
      <c r="Q4" s="5">
        <f>'[15] MIPPA SHIP June'!$E$18</f>
        <v>36023</v>
      </c>
      <c r="R4" s="5">
        <f>'[16] MIPPA AAA June'!$F$24</f>
        <v>27500.330000000005</v>
      </c>
      <c r="S4" s="5">
        <f>'[17] MIPPA AAA June'!$E$18</f>
        <v>36689</v>
      </c>
      <c r="T4" s="5">
        <f>'[18] MIPPA ADRC June'!$F$24</f>
        <v>190.78999999999951</v>
      </c>
      <c r="U4" s="5">
        <f>'[19] MIPPA ADRC June'!$E$18</f>
        <v>3858</v>
      </c>
      <c r="V4" s="5">
        <f>'[20]ADRC June Final'!$E$20</f>
        <v>200000</v>
      </c>
      <c r="W4" s="5">
        <f>'[21]ESMP June-Audited'!$E$61+'[21]ESMP June-Audited'!$E$26</f>
        <v>1064360.77</v>
      </c>
      <c r="X4" s="5">
        <f>'[22]ADVC June-Final'!$E$43</f>
        <v>77000</v>
      </c>
      <c r="Y4" s="5">
        <f>'[23]INNU May'!$E$43</f>
        <v>3501</v>
      </c>
      <c r="Z4" s="27">
        <v>13894</v>
      </c>
      <c r="AA4" s="27">
        <v>45407</v>
      </c>
      <c r="AB4" s="27">
        <v>9018</v>
      </c>
      <c r="AC4" s="27">
        <v>8230</v>
      </c>
      <c r="AD4" s="27">
        <v>4775</v>
      </c>
      <c r="AE4" s="27">
        <v>73783</v>
      </c>
      <c r="AF4" s="27">
        <v>91194</v>
      </c>
      <c r="AG4" s="27">
        <v>18253</v>
      </c>
      <c r="AH4" s="27">
        <v>8277</v>
      </c>
      <c r="AI4" s="27">
        <v>5672</v>
      </c>
      <c r="AJ4" s="27">
        <v>12665</v>
      </c>
      <c r="AK4" s="27">
        <v>5814</v>
      </c>
      <c r="AL4" s="27">
        <v>2358</v>
      </c>
      <c r="AM4" s="27">
        <v>3465</v>
      </c>
      <c r="AN4" s="9">
        <f>23211.67+92846.67</f>
        <v>116058.34</v>
      </c>
      <c r="AO4" s="9">
        <f>6198.63+6198.63</f>
        <v>12397.26</v>
      </c>
      <c r="AP4" s="9">
        <v>201810.51</v>
      </c>
      <c r="AQ4" s="9">
        <v>221028.88</v>
      </c>
      <c r="AR4" s="5">
        <v>61000</v>
      </c>
      <c r="AS4" s="5">
        <v>83454</v>
      </c>
      <c r="AT4" s="5">
        <v>21800</v>
      </c>
      <c r="AU4" s="27">
        <f>1042327+193082+65146+143308+26545+8957</f>
        <v>1479365</v>
      </c>
      <c r="AV4" s="5">
        <v>1204973</v>
      </c>
      <c r="AW4" s="5">
        <v>600000</v>
      </c>
      <c r="AX4" s="5">
        <f>41975+7775+2623.44</f>
        <v>52373.440000000002</v>
      </c>
      <c r="AY4" s="5">
        <f>121990+22598+7624.38</f>
        <v>152212.38</v>
      </c>
    </row>
    <row r="5" spans="1:51" ht="30" x14ac:dyDescent="0.25">
      <c r="A5" s="21" t="s">
        <v>22</v>
      </c>
      <c r="B5" s="29">
        <v>0</v>
      </c>
      <c r="C5" s="29">
        <v>0</v>
      </c>
      <c r="D5" s="5">
        <v>0</v>
      </c>
      <c r="E5" s="5">
        <v>0</v>
      </c>
      <c r="F5" s="5">
        <v>0</v>
      </c>
      <c r="G5" s="5">
        <f>'[6]IIIE June-Audited'!$D$27</f>
        <v>9063.2474999999995</v>
      </c>
      <c r="H5" s="5">
        <v>0</v>
      </c>
      <c r="I5" s="5">
        <v>0</v>
      </c>
      <c r="J5" s="5">
        <v>0</v>
      </c>
      <c r="K5" s="5">
        <v>0</v>
      </c>
      <c r="L5" s="5">
        <v>0</v>
      </c>
      <c r="M5" s="5">
        <v>0</v>
      </c>
      <c r="N5" s="5">
        <v>593.88</v>
      </c>
      <c r="O5" s="5">
        <v>0</v>
      </c>
      <c r="P5" s="5">
        <v>0</v>
      </c>
      <c r="Q5" s="5">
        <v>0</v>
      </c>
      <c r="R5" s="5">
        <v>0</v>
      </c>
      <c r="S5" s="5">
        <v>0</v>
      </c>
      <c r="T5" s="5">
        <v>0</v>
      </c>
      <c r="U5" s="5">
        <v>0</v>
      </c>
      <c r="V5" s="5">
        <v>0</v>
      </c>
      <c r="W5" s="5">
        <v>0</v>
      </c>
      <c r="X5" s="5">
        <v>0</v>
      </c>
      <c r="Y5" s="5">
        <v>0</v>
      </c>
      <c r="Z5" s="5">
        <v>10.33</v>
      </c>
      <c r="AA5" s="5">
        <v>0</v>
      </c>
      <c r="AB5" s="5">
        <v>0</v>
      </c>
      <c r="AC5" s="5">
        <v>0</v>
      </c>
      <c r="AD5" s="5">
        <v>0</v>
      </c>
      <c r="AE5" s="5">
        <v>0</v>
      </c>
      <c r="AF5" s="5">
        <v>0</v>
      </c>
      <c r="AG5" s="5">
        <v>0</v>
      </c>
      <c r="AH5" s="5">
        <v>0</v>
      </c>
      <c r="AI5" s="5">
        <v>0</v>
      </c>
      <c r="AJ5" s="5">
        <v>0</v>
      </c>
      <c r="AK5" s="5">
        <v>0</v>
      </c>
      <c r="AL5" s="5">
        <v>0</v>
      </c>
      <c r="AM5" s="5">
        <v>0</v>
      </c>
      <c r="AN5" s="9">
        <f>2062.97</f>
        <v>2062.9699999999998</v>
      </c>
      <c r="AO5" s="9">
        <v>235.56</v>
      </c>
      <c r="AP5" s="9">
        <v>3383.05</v>
      </c>
      <c r="AQ5" s="9">
        <v>4155.62</v>
      </c>
      <c r="AR5" s="5">
        <v>0</v>
      </c>
      <c r="AS5" s="5">
        <v>9273</v>
      </c>
      <c r="AT5" s="5">
        <v>0</v>
      </c>
      <c r="AU5" s="5">
        <f>195435+29990+18281+26870+4019+2617</f>
        <v>277212</v>
      </c>
      <c r="AV5" s="5">
        <v>301243</v>
      </c>
      <c r="AW5" s="5">
        <f>(AW4/0.8)*0.2</f>
        <v>150000</v>
      </c>
      <c r="AX5" s="27">
        <v>12437.5</v>
      </c>
      <c r="AY5" s="27">
        <v>82691.899999999994</v>
      </c>
    </row>
    <row r="6" spans="1:51" x14ac:dyDescent="0.25">
      <c r="A6" s="21" t="s">
        <v>24</v>
      </c>
      <c r="B6" s="29">
        <f>SUM(B4:B5)</f>
        <v>2384153.4500000002</v>
      </c>
      <c r="C6" s="29">
        <f>C4+C5</f>
        <v>147765.66999999998</v>
      </c>
      <c r="D6" s="29">
        <f t="shared" ref="D6:Y6" si="0">SUM(D4:D5)</f>
        <v>1560305.57</v>
      </c>
      <c r="E6" s="29">
        <f t="shared" si="0"/>
        <v>2478881.17</v>
      </c>
      <c r="F6" s="29">
        <f t="shared" si="0"/>
        <v>198442</v>
      </c>
      <c r="G6" s="29">
        <f t="shared" si="0"/>
        <v>1047090.5675</v>
      </c>
      <c r="H6" s="29">
        <f t="shared" si="0"/>
        <v>10356.01</v>
      </c>
      <c r="I6" s="29">
        <f t="shared" si="0"/>
        <v>48741.58</v>
      </c>
      <c r="J6" s="29">
        <f t="shared" si="0"/>
        <v>0</v>
      </c>
      <c r="K6" s="29">
        <f t="shared" si="0"/>
        <v>204831.5</v>
      </c>
      <c r="L6" s="29">
        <f t="shared" si="0"/>
        <v>287573</v>
      </c>
      <c r="M6" s="29">
        <f t="shared" si="0"/>
        <v>164924</v>
      </c>
      <c r="N6" s="29">
        <f t="shared" si="0"/>
        <v>2543500.9</v>
      </c>
      <c r="O6" s="29">
        <f t="shared" si="0"/>
        <v>110000</v>
      </c>
      <c r="P6" s="29">
        <f t="shared" si="0"/>
        <v>21318.820000000003</v>
      </c>
      <c r="Q6" s="29">
        <f t="shared" si="0"/>
        <v>36023</v>
      </c>
      <c r="R6" s="29">
        <f t="shared" si="0"/>
        <v>27500.330000000005</v>
      </c>
      <c r="S6" s="29">
        <f t="shared" si="0"/>
        <v>36689</v>
      </c>
      <c r="T6" s="29">
        <f t="shared" si="0"/>
        <v>190.78999999999951</v>
      </c>
      <c r="U6" s="29">
        <f t="shared" si="0"/>
        <v>3858</v>
      </c>
      <c r="V6" s="29">
        <f t="shared" si="0"/>
        <v>200000</v>
      </c>
      <c r="W6" s="29">
        <f t="shared" si="0"/>
        <v>1064360.77</v>
      </c>
      <c r="X6" s="29">
        <f t="shared" si="0"/>
        <v>77000</v>
      </c>
      <c r="Y6" s="29">
        <f t="shared" si="0"/>
        <v>3501</v>
      </c>
      <c r="Z6" s="5">
        <f t="shared" ref="Z6:AR6" si="1">SUM(Z4:Z5)</f>
        <v>13904.33</v>
      </c>
      <c r="AA6" s="5">
        <f t="shared" ref="AA6" si="2">SUM(AA4:AA5)</f>
        <v>45407</v>
      </c>
      <c r="AB6" s="5">
        <f>SUM(AB4:AB5)</f>
        <v>9018</v>
      </c>
      <c r="AC6" s="5">
        <f>SUM(AC4:AC5)</f>
        <v>8230</v>
      </c>
      <c r="AD6" s="5">
        <f>SUM(AD4:AD5)</f>
        <v>4775</v>
      </c>
      <c r="AE6" s="5">
        <f t="shared" ref="AE6:AM6" si="3">SUM(AE4:AE5)</f>
        <v>73783</v>
      </c>
      <c r="AF6" s="5">
        <f t="shared" si="3"/>
        <v>91194</v>
      </c>
      <c r="AG6" s="5">
        <f t="shared" si="3"/>
        <v>18253</v>
      </c>
      <c r="AH6" s="5">
        <f t="shared" si="3"/>
        <v>8277</v>
      </c>
      <c r="AI6" s="5">
        <f t="shared" si="3"/>
        <v>5672</v>
      </c>
      <c r="AJ6" s="5">
        <f t="shared" si="3"/>
        <v>12665</v>
      </c>
      <c r="AK6" s="5">
        <f t="shared" si="3"/>
        <v>5814</v>
      </c>
      <c r="AL6" s="5">
        <f t="shared" si="3"/>
        <v>2358</v>
      </c>
      <c r="AM6" s="5">
        <f t="shared" si="3"/>
        <v>3465</v>
      </c>
      <c r="AN6" s="5">
        <f t="shared" si="1"/>
        <v>118121.31</v>
      </c>
      <c r="AO6" s="5">
        <f t="shared" si="1"/>
        <v>12632.82</v>
      </c>
      <c r="AP6" s="5">
        <f t="shared" si="1"/>
        <v>205193.56</v>
      </c>
      <c r="AQ6" s="5">
        <f t="shared" si="1"/>
        <v>225184.5</v>
      </c>
      <c r="AR6" s="5">
        <f t="shared" si="1"/>
        <v>61000</v>
      </c>
      <c r="AS6" s="5">
        <f t="shared" ref="AS6:AY6" si="4">SUM(AS4:AS5)</f>
        <v>92727</v>
      </c>
      <c r="AT6" s="5">
        <f t="shared" si="4"/>
        <v>21800</v>
      </c>
      <c r="AU6" s="5">
        <f t="shared" si="4"/>
        <v>1756577</v>
      </c>
      <c r="AV6" s="5">
        <f t="shared" si="4"/>
        <v>1506216</v>
      </c>
      <c r="AW6" s="5">
        <f t="shared" si="4"/>
        <v>750000</v>
      </c>
      <c r="AX6" s="5">
        <f t="shared" si="4"/>
        <v>64810.94</v>
      </c>
      <c r="AY6" s="5">
        <f t="shared" si="4"/>
        <v>234904.28</v>
      </c>
    </row>
    <row r="7" spans="1:51" x14ac:dyDescent="0.25">
      <c r="A7" s="22" t="s">
        <v>25</v>
      </c>
      <c r="B7" s="12">
        <f>'[1]IIIB June-Audited'!$D$31-'[1]IIIB June-Audited'!$D$15</f>
        <v>81766.000000000015</v>
      </c>
      <c r="C7" s="12">
        <v>0</v>
      </c>
      <c r="D7" s="9">
        <f>'[3]III C1 June-Audited'!$D$17-'[3]III C1 June-Audited'!$D$15</f>
        <v>96674.4</v>
      </c>
      <c r="E7" s="9">
        <f>'[4]III C2 June-Audited'!$D$17-'[4]III C2 June-Audited'!$D$15</f>
        <v>76970.78</v>
      </c>
      <c r="F7" s="9">
        <v>0</v>
      </c>
      <c r="G7" s="9">
        <f>'[6]IIIE June-Audited'!$D$31-'[6]IIIE June-Audited'!$D$15</f>
        <v>28417.489999999991</v>
      </c>
      <c r="H7" s="9">
        <v>0</v>
      </c>
      <c r="I7" s="9">
        <v>0</v>
      </c>
      <c r="J7" s="9">
        <v>0</v>
      </c>
      <c r="K7" s="9">
        <v>0</v>
      </c>
      <c r="L7" s="9">
        <f>'[10]KYCG June-Audited'!$D$22-'[10]KYCG June-Audited'!$D$15</f>
        <v>14860.720000000001</v>
      </c>
      <c r="M7" s="9">
        <v>0</v>
      </c>
      <c r="N7" s="9">
        <f>'[12]HC June-Audited'!$D$22-'[12]HC June-Audited'!$D$15</f>
        <v>291639.26000000007</v>
      </c>
      <c r="O7" s="9">
        <f>'[13]SHIP June Audited'!$D$17-'[13]SHIP June Audited'!$D$16</f>
        <v>6836.93</v>
      </c>
      <c r="P7" s="10">
        <v>0</v>
      </c>
      <c r="Q7" s="9">
        <v>0</v>
      </c>
      <c r="R7" s="9">
        <v>0</v>
      </c>
      <c r="S7" s="9">
        <v>0</v>
      </c>
      <c r="T7" s="9">
        <v>0</v>
      </c>
      <c r="U7" s="9">
        <v>0</v>
      </c>
      <c r="V7" s="9">
        <v>0</v>
      </c>
      <c r="W7" s="9">
        <f>'[21]ESMP June-Audited'!$D$16-'[21]ESMP June-Audited'!$D$15</f>
        <v>56836.53</v>
      </c>
      <c r="X7" s="9">
        <v>0</v>
      </c>
      <c r="Y7" s="9">
        <v>0</v>
      </c>
      <c r="Z7" s="10">
        <f>7098.69+3610.3</f>
        <v>10708.99</v>
      </c>
      <c r="AA7" s="10">
        <f>19091.82+9709.86</f>
        <v>28801.68</v>
      </c>
      <c r="AB7" s="10">
        <f>6822.42+3469.8</f>
        <v>10292.220000000001</v>
      </c>
      <c r="AC7" s="10">
        <f>4085.16+2077.66</f>
        <v>6162.82</v>
      </c>
      <c r="AD7" s="10">
        <v>0</v>
      </c>
      <c r="AE7" s="10">
        <f>30900.4+15715.52</f>
        <v>46615.92</v>
      </c>
      <c r="AF7" s="10">
        <f>46310.78+23553.05</f>
        <v>69863.83</v>
      </c>
      <c r="AG7" s="10">
        <f>6668.44+3391.49</f>
        <v>10059.93</v>
      </c>
      <c r="AH7" s="10">
        <f>4624.09+2351.75</f>
        <v>6975.84</v>
      </c>
      <c r="AI7" s="10">
        <f>524.27+266.64</f>
        <v>790.91</v>
      </c>
      <c r="AJ7" s="10">
        <f>4319.49+2196.84</f>
        <v>6516.33</v>
      </c>
      <c r="AK7" s="10">
        <f>407.21+207.1</f>
        <v>614.30999999999995</v>
      </c>
      <c r="AL7" s="10">
        <f>1222.08+621.54</f>
        <v>1843.62</v>
      </c>
      <c r="AM7" s="10">
        <f>1211.08+615.94</f>
        <v>1827.02</v>
      </c>
      <c r="AN7" s="10">
        <f>41424.79+21673.39</f>
        <v>63098.18</v>
      </c>
      <c r="AO7" s="10">
        <f>6362.2+3235.73</f>
        <v>9597.93</v>
      </c>
      <c r="AP7" s="10">
        <f>91411.19+46490.58</f>
        <v>137901.77000000002</v>
      </c>
      <c r="AQ7" s="10">
        <f>112294.58+57111.61</f>
        <v>169406.19</v>
      </c>
      <c r="AR7" s="10">
        <f>29954.99+15234.73</f>
        <v>45189.72</v>
      </c>
      <c r="AS7" s="10">
        <f>44886.81+22828.87</f>
        <v>67715.679999999993</v>
      </c>
      <c r="AT7" s="10">
        <f>6510.7+3311.26+4339.03+2206.78+115.92+58.96</f>
        <v>16542.649999999998</v>
      </c>
      <c r="AU7" s="10">
        <v>1018548.88</v>
      </c>
      <c r="AV7" s="10">
        <f>243396.51</f>
        <v>243396.51</v>
      </c>
      <c r="AW7" s="10">
        <v>0</v>
      </c>
      <c r="AX7" s="10">
        <v>0</v>
      </c>
      <c r="AY7" s="10">
        <v>0</v>
      </c>
    </row>
    <row r="8" spans="1:51" x14ac:dyDescent="0.25">
      <c r="A8" s="23" t="s">
        <v>26</v>
      </c>
      <c r="B8" s="11">
        <f>B7/B6</f>
        <v>3.4295611299683754E-2</v>
      </c>
      <c r="C8" s="11">
        <f t="shared" ref="C8:AY8" si="5">C7/C6</f>
        <v>0</v>
      </c>
      <c r="D8" s="11">
        <f t="shared" si="5"/>
        <v>6.1958632884967522E-2</v>
      </c>
      <c r="E8" s="11">
        <f t="shared" si="5"/>
        <v>3.1050613047336997E-2</v>
      </c>
      <c r="F8" s="11">
        <f t="shared" si="5"/>
        <v>0</v>
      </c>
      <c r="G8" s="11">
        <f t="shared" si="5"/>
        <v>2.7139476643217867E-2</v>
      </c>
      <c r="H8" s="11">
        <f t="shared" si="5"/>
        <v>0</v>
      </c>
      <c r="I8" s="11">
        <f t="shared" si="5"/>
        <v>0</v>
      </c>
      <c r="J8" s="11">
        <v>0</v>
      </c>
      <c r="K8" s="11">
        <f t="shared" si="5"/>
        <v>0</v>
      </c>
      <c r="L8" s="11">
        <f t="shared" si="5"/>
        <v>5.1676339572908452E-2</v>
      </c>
      <c r="M8" s="11">
        <f t="shared" si="5"/>
        <v>0</v>
      </c>
      <c r="N8" s="11">
        <f t="shared" si="5"/>
        <v>0.11466056882464641</v>
      </c>
      <c r="O8" s="11">
        <f t="shared" si="5"/>
        <v>6.2153909090909093E-2</v>
      </c>
      <c r="P8" s="11">
        <f t="shared" si="5"/>
        <v>0</v>
      </c>
      <c r="Q8" s="11">
        <f t="shared" si="5"/>
        <v>0</v>
      </c>
      <c r="R8" s="11">
        <f t="shared" si="5"/>
        <v>0</v>
      </c>
      <c r="S8" s="11">
        <f t="shared" si="5"/>
        <v>0</v>
      </c>
      <c r="T8" s="11">
        <f t="shared" si="5"/>
        <v>0</v>
      </c>
      <c r="U8" s="11">
        <f t="shared" si="5"/>
        <v>0</v>
      </c>
      <c r="V8" s="11">
        <f t="shared" si="5"/>
        <v>0</v>
      </c>
      <c r="W8" s="11">
        <f t="shared" si="5"/>
        <v>5.3399685146231009E-2</v>
      </c>
      <c r="X8" s="11">
        <f t="shared" si="5"/>
        <v>0</v>
      </c>
      <c r="Y8" s="11">
        <f t="shared" si="5"/>
        <v>0</v>
      </c>
      <c r="Z8" s="11">
        <f t="shared" si="5"/>
        <v>0.77019101244000965</v>
      </c>
      <c r="AA8" s="11">
        <f t="shared" si="5"/>
        <v>0.63430043825841831</v>
      </c>
      <c r="AB8" s="11">
        <f>AB7/AB6</f>
        <v>1.141297405189621</v>
      </c>
      <c r="AC8" s="11">
        <f>AC7/AC6</f>
        <v>0.74882381530984199</v>
      </c>
      <c r="AD8" s="11">
        <f>AD7/AD6</f>
        <v>0</v>
      </c>
      <c r="AE8" s="11">
        <f t="shared" ref="AE8:AM8" si="6">AE7/AE6</f>
        <v>0.63179756854559987</v>
      </c>
      <c r="AF8" s="11">
        <f t="shared" si="6"/>
        <v>0.76610116893655289</v>
      </c>
      <c r="AG8" s="11">
        <f>AG7/AG6</f>
        <v>0.55113844299567194</v>
      </c>
      <c r="AH8" s="11">
        <f>AH7/AH6</f>
        <v>0.84279811525915194</v>
      </c>
      <c r="AI8" s="11">
        <f t="shared" ref="AI8" si="7">AI7/AI6</f>
        <v>0.13944111424541608</v>
      </c>
      <c r="AJ8" s="11">
        <f t="shared" si="6"/>
        <v>0.5145148045795499</v>
      </c>
      <c r="AK8" s="11">
        <f t="shared" si="6"/>
        <v>0.10566047471620225</v>
      </c>
      <c r="AL8" s="11">
        <f t="shared" si="6"/>
        <v>0.78185750636132312</v>
      </c>
      <c r="AM8" s="11">
        <f t="shared" si="6"/>
        <v>0.52727849927849924</v>
      </c>
      <c r="AN8" s="11">
        <f t="shared" si="5"/>
        <v>0.53418117357486128</v>
      </c>
      <c r="AO8" s="11">
        <f t="shared" si="5"/>
        <v>0.75976147843474384</v>
      </c>
      <c r="AP8" s="11">
        <f t="shared" si="5"/>
        <v>0.67205700802695767</v>
      </c>
      <c r="AQ8" s="11">
        <f t="shared" si="5"/>
        <v>0.75229951439819354</v>
      </c>
      <c r="AR8" s="11">
        <f t="shared" si="5"/>
        <v>0.74081508196721313</v>
      </c>
      <c r="AS8" s="11">
        <f t="shared" si="5"/>
        <v>0.73026928510574041</v>
      </c>
      <c r="AT8" s="11">
        <f t="shared" si="5"/>
        <v>0.7588371559633027</v>
      </c>
      <c r="AU8" s="11">
        <f t="shared" si="5"/>
        <v>0.57984869436409558</v>
      </c>
      <c r="AV8" s="11">
        <f t="shared" si="5"/>
        <v>0.16159469159801781</v>
      </c>
      <c r="AW8" s="11">
        <f t="shared" si="5"/>
        <v>0</v>
      </c>
      <c r="AX8" s="11">
        <f t="shared" si="5"/>
        <v>0</v>
      </c>
      <c r="AY8" s="11">
        <f t="shared" si="5"/>
        <v>0</v>
      </c>
    </row>
    <row r="9" spans="1:51" x14ac:dyDescent="0.25">
      <c r="A9" s="22" t="s">
        <v>27</v>
      </c>
      <c r="B9" s="12">
        <f>'[1]IIIB June-Audited'!$D$71-'[1]IIIB June-Audited'!$D$55</f>
        <v>1227045.3099999998</v>
      </c>
      <c r="C9" s="12">
        <f>'[2]B OMB June-Audited'!$D$22+'[2]B OMB June-Audited'!$D$23+'[2]B OMB June-Audited'!$D$24+'[2]B OMB June-Audited'!$D$25</f>
        <v>115107.83</v>
      </c>
      <c r="D9" s="9">
        <f>'[3]III C1 June-Audited'!$D$71-'[3]III C1 June-Audited'!$D$55</f>
        <v>1045739.23</v>
      </c>
      <c r="E9" s="9">
        <f>'[4]III C2 June-Audited'!$D$71-'[4]III C2 June-Audited'!$D$55</f>
        <v>2239949.1425000001</v>
      </c>
      <c r="F9" s="9">
        <f>'[5]IIID June-Audited'!$D$30</f>
        <v>48865.53</v>
      </c>
      <c r="G9" s="9">
        <f>'[6]IIIE June-Audited'!$D$68+'[6]IIIE June-Audited'!$D$80-'[6]IIIE June-Audited'!$D$53</f>
        <v>578501</v>
      </c>
      <c r="H9" s="9">
        <f>'[7]VII EA June-Final'!$D$20+'[7]VII EA June-Final'!$D$21+'[7]VII EA June-Final'!$D$22</f>
        <v>10089.460000000001</v>
      </c>
      <c r="I9" s="9">
        <f>'[8]VII OMB June-Audited'!$D$21+'[8]VII OMB June-Audited'!$D$22+'[8]VII OMB June-Audited'!$D$24+'[8]VII OMB June-Audited'!$D$26</f>
        <v>48404.970000000008</v>
      </c>
      <c r="J9" s="9">
        <v>0</v>
      </c>
      <c r="K9" s="9">
        <f>'[9]NSIP June'!$D$19</f>
        <v>204826.34999999998</v>
      </c>
      <c r="L9" s="9">
        <f>'[10]KYCG June-Audited'!$D$59-'[10]KYCG June-Audited'!$D$48</f>
        <v>240919.57</v>
      </c>
      <c r="M9" s="9">
        <f>'[11]SLTCO June-Audited'!$D$26</f>
        <v>152968.83000000002</v>
      </c>
      <c r="N9" s="9">
        <f>'[12]HC June-Audited'!$D$56-'[12]HC June-Audited'!$D$49</f>
        <v>1930130.2399999998</v>
      </c>
      <c r="O9" s="9">
        <f>'[13]SHIP June Audited'!$D$51-'[13]SHIP June Audited'!$D$50</f>
        <v>80583.409999999989</v>
      </c>
      <c r="P9" s="9">
        <f>'[14] MIPPA SHIP August '!$C$18-'[14] MIPPA SHIP August '!$C$17+'[14] MIPPA SHIP July'!$C$18-'[14] MIPPA SHIP July'!$C$17</f>
        <v>4121.28</v>
      </c>
      <c r="Q9" s="9">
        <f>'[15] MIPPA SHIP June'!$D$18-'[15] MIPPA SHIP June'!$D$17</f>
        <v>26874.47</v>
      </c>
      <c r="R9" s="9">
        <f>'[16] MIPPA AAA July'!$C$18-'[16] MIPPA AAA July'!$C$17+'[16] MIPPA AAA August'!$C$18-'[16] MIPPA AAA August'!$C$17</f>
        <v>2762.8700000000003</v>
      </c>
      <c r="S9" s="9">
        <f>'[17] MIPPA AAA August'!$D$18-'[17] MIPPA AAA August'!$D$17</f>
        <v>27493.369999999995</v>
      </c>
      <c r="T9" s="9">
        <f>'[18] MIPPA ADRC July'!$C$18</f>
        <v>114.46999999999997</v>
      </c>
      <c r="U9" s="9">
        <f>'[19] MIPPA ADRC June'!$D$18-'[19] MIPPA ADRC June'!$D$17</f>
        <v>2866.8599999999997</v>
      </c>
      <c r="V9" s="9">
        <f>'[20]ADRC June Final'!$D$20</f>
        <v>134150</v>
      </c>
      <c r="W9" s="9">
        <f>'[21]ESMP June-Audited'!$D$61-'[21]ESMP June-Audited'!$D$50</f>
        <v>982774.87750000006</v>
      </c>
      <c r="X9" s="9">
        <f>'[22]ADVC June-Final'!$D$43-'[22]ADVC June-Final'!$D$42</f>
        <v>53981.599999999999</v>
      </c>
      <c r="Y9" s="9">
        <f>'[23]INNU May'!$D$49-'[23]INNU May'!$D$42</f>
        <v>2649.41</v>
      </c>
      <c r="Z9" s="10">
        <v>0</v>
      </c>
      <c r="AA9" s="10">
        <f>37957.34-AA7-AA11</f>
        <v>49.019999999996799</v>
      </c>
      <c r="AB9" s="10">
        <v>0</v>
      </c>
      <c r="AC9" s="10">
        <v>0</v>
      </c>
      <c r="AD9" s="10">
        <v>0</v>
      </c>
      <c r="AE9" s="10">
        <f>750+53.12</f>
        <v>803.12</v>
      </c>
      <c r="AF9" s="10">
        <f>16.97+37.38+0.03+120</f>
        <v>174.38</v>
      </c>
      <c r="AG9" s="10">
        <v>6100</v>
      </c>
      <c r="AH9" s="10">
        <f>29.72</f>
        <v>29.72</v>
      </c>
      <c r="AI9" s="10">
        <v>0</v>
      </c>
      <c r="AJ9" s="10">
        <v>125.98</v>
      </c>
      <c r="AK9" s="10">
        <v>26.73</v>
      </c>
      <c r="AL9" s="10">
        <v>0</v>
      </c>
      <c r="AM9" s="10">
        <v>0</v>
      </c>
      <c r="AN9" s="10">
        <f>118121.31-AN11-AN7</f>
        <v>28435.010000000002</v>
      </c>
      <c r="AO9" s="10">
        <v>0.17</v>
      </c>
      <c r="AP9" s="10">
        <f>205193.56-AP11-AP7</f>
        <v>23689.399999999965</v>
      </c>
      <c r="AQ9" s="10">
        <f>225184.5-AQ11-AQ7</f>
        <v>2214.7099999999919</v>
      </c>
      <c r="AR9" s="10">
        <f>60926.06-AR7-AR11</f>
        <v>1448.0599999999959</v>
      </c>
      <c r="AS9" s="10">
        <f>277.14+75.44</f>
        <v>352.58</v>
      </c>
      <c r="AT9" s="10">
        <v>0</v>
      </c>
      <c r="AU9" s="10">
        <v>323004.95</v>
      </c>
      <c r="AV9" s="10">
        <f>377837.19</f>
        <v>377837.19</v>
      </c>
      <c r="AW9" s="10">
        <v>144375</v>
      </c>
      <c r="AX9" s="10">
        <v>60148.46</v>
      </c>
      <c r="AY9" s="10">
        <v>234903.9</v>
      </c>
    </row>
    <row r="10" spans="1:51" x14ac:dyDescent="0.25">
      <c r="A10" s="23" t="s">
        <v>28</v>
      </c>
      <c r="B10" s="11">
        <f>B9/B6</f>
        <v>0.51466708655015458</v>
      </c>
      <c r="C10" s="11">
        <f t="shared" ref="C10:AY10" si="8">C9/C6</f>
        <v>0.77898898979715658</v>
      </c>
      <c r="D10" s="11">
        <f t="shared" si="8"/>
        <v>0.67021437986663079</v>
      </c>
      <c r="E10" s="11">
        <f t="shared" si="8"/>
        <v>0.90361295636450378</v>
      </c>
      <c r="F10" s="11">
        <f t="shared" si="8"/>
        <v>0.24624590560466031</v>
      </c>
      <c r="G10" s="11">
        <f t="shared" si="8"/>
        <v>0.55248420524044117</v>
      </c>
      <c r="H10" s="11">
        <f t="shared" si="8"/>
        <v>0.97426132265225707</v>
      </c>
      <c r="I10" s="11">
        <f t="shared" si="8"/>
        <v>0.9930939866947277</v>
      </c>
      <c r="J10" s="11">
        <v>0</v>
      </c>
      <c r="K10" s="11">
        <f t="shared" si="8"/>
        <v>0.99997485738277547</v>
      </c>
      <c r="L10" s="11">
        <f t="shared" si="8"/>
        <v>0.83776839272115255</v>
      </c>
      <c r="M10" s="11">
        <f t="shared" si="8"/>
        <v>0.92751103538599611</v>
      </c>
      <c r="N10" s="11">
        <f t="shared" si="8"/>
        <v>0.75884786987887431</v>
      </c>
      <c r="O10" s="11">
        <f t="shared" si="8"/>
        <v>0.73257645454545439</v>
      </c>
      <c r="P10" s="11">
        <f t="shared" si="8"/>
        <v>0.19331651564204769</v>
      </c>
      <c r="Q10" s="11">
        <f t="shared" si="8"/>
        <v>0.74603642117536018</v>
      </c>
      <c r="R10" s="11">
        <f t="shared" si="8"/>
        <v>0.10046679439846722</v>
      </c>
      <c r="S10" s="11">
        <f t="shared" si="8"/>
        <v>0.74936275177846212</v>
      </c>
      <c r="T10" s="11">
        <f t="shared" si="8"/>
        <v>0.59997903454059576</v>
      </c>
      <c r="U10" s="11">
        <f t="shared" si="8"/>
        <v>0.74309486780715384</v>
      </c>
      <c r="V10" s="11">
        <f t="shared" si="8"/>
        <v>0.67074999999999996</v>
      </c>
      <c r="W10" s="11">
        <f t="shared" si="8"/>
        <v>0.92334752012703369</v>
      </c>
      <c r="X10" s="11">
        <f t="shared" si="8"/>
        <v>0.70105974025974027</v>
      </c>
      <c r="Y10" s="11">
        <f t="shared" si="8"/>
        <v>0.75675806912310761</v>
      </c>
      <c r="Z10" s="11">
        <f t="shared" si="8"/>
        <v>0</v>
      </c>
      <c r="AA10" s="11">
        <f t="shared" si="8"/>
        <v>1.0795692294138966E-3</v>
      </c>
      <c r="AB10" s="11">
        <f>AB9/AB6</f>
        <v>0</v>
      </c>
      <c r="AC10" s="11">
        <f>AC9/AC6</f>
        <v>0</v>
      </c>
      <c r="AD10" s="11">
        <f>AD9/AD6</f>
        <v>0</v>
      </c>
      <c r="AE10" s="11">
        <f t="shared" si="8"/>
        <v>1.0884892183836386E-2</v>
      </c>
      <c r="AF10" s="11">
        <f t="shared" si="8"/>
        <v>1.9121872052985942E-3</v>
      </c>
      <c r="AG10" s="11">
        <f>AG9/AG6</f>
        <v>0.33419163973045529</v>
      </c>
      <c r="AH10" s="11">
        <f t="shared" ref="AH10:AI10" si="9">AH9/AH6</f>
        <v>3.5906729491361603E-3</v>
      </c>
      <c r="AI10" s="11">
        <f t="shared" si="9"/>
        <v>0</v>
      </c>
      <c r="AJ10" s="11">
        <f t="shared" si="8"/>
        <v>9.9470983024082128E-3</v>
      </c>
      <c r="AK10" s="11">
        <f t="shared" si="8"/>
        <v>4.5975232198142415E-3</v>
      </c>
      <c r="AL10" s="11">
        <f t="shared" si="8"/>
        <v>0</v>
      </c>
      <c r="AM10" s="11">
        <f t="shared" si="8"/>
        <v>0</v>
      </c>
      <c r="AN10" s="11">
        <f t="shared" si="8"/>
        <v>0.24072718123427519</v>
      </c>
      <c r="AO10" s="11">
        <f t="shared" si="8"/>
        <v>1.3457011181984705E-5</v>
      </c>
      <c r="AP10" s="11">
        <f t="shared" si="8"/>
        <v>0.11544904235785941</v>
      </c>
      <c r="AQ10" s="11">
        <f t="shared" si="8"/>
        <v>9.8350907811150055E-3</v>
      </c>
      <c r="AR10" s="11">
        <f t="shared" si="8"/>
        <v>2.3738688524590094E-2</v>
      </c>
      <c r="AS10" s="11">
        <f t="shared" si="8"/>
        <v>3.8023445166995586E-3</v>
      </c>
      <c r="AT10" s="11">
        <f t="shared" si="8"/>
        <v>0</v>
      </c>
      <c r="AU10" s="11">
        <f t="shared" si="8"/>
        <v>0.18388317164576332</v>
      </c>
      <c r="AV10" s="11">
        <f t="shared" si="8"/>
        <v>0.25085192960372216</v>
      </c>
      <c r="AW10" s="11">
        <f t="shared" si="8"/>
        <v>0.1925</v>
      </c>
      <c r="AX10" s="11">
        <f t="shared" si="8"/>
        <v>0.92806029352451913</v>
      </c>
      <c r="AY10" s="11">
        <f t="shared" si="8"/>
        <v>0.99999838231981131</v>
      </c>
    </row>
    <row r="11" spans="1:51" x14ac:dyDescent="0.25">
      <c r="A11" s="22" t="s">
        <v>29</v>
      </c>
      <c r="B11" s="12">
        <f>'[1]IIIB June-Audited'!$D$55+'[1]IIIB June-Audited'!$D$15</f>
        <v>69447.240000000005</v>
      </c>
      <c r="C11" s="12">
        <v>0</v>
      </c>
      <c r="D11" s="9">
        <f>'[3]III C1 June-Audited'!$D$55+'[3]III C1 June-Audited'!$D$15</f>
        <v>30403.82</v>
      </c>
      <c r="E11" s="9">
        <f>'[4]III C2 June-Audited'!$D$55+'[4]III C2 June-Audited'!$D$15</f>
        <v>52358</v>
      </c>
      <c r="F11" s="9">
        <v>0</v>
      </c>
      <c r="G11" s="9">
        <f>'[6]IIIE June-Audited'!$D$53+'[6]IIIE June-Audited'!$D$15</f>
        <v>52886.64</v>
      </c>
      <c r="H11" s="9">
        <v>0</v>
      </c>
      <c r="I11" s="9">
        <v>0</v>
      </c>
      <c r="J11" s="9"/>
      <c r="K11" s="9"/>
      <c r="L11" s="9">
        <f>'[10]KYCG June-Audited'!$D$48+'[10]KYCG June-Audited'!$D$15</f>
        <v>31791.14</v>
      </c>
      <c r="M11" s="9">
        <v>0</v>
      </c>
      <c r="N11" s="9">
        <f>'[12]HC June-Audited'!$D$49+'[12]HC June-Audited'!$D$15</f>
        <v>292922.78000000003</v>
      </c>
      <c r="O11" s="9">
        <f>'[13]SHIP June Audited'!$D$50+'[13]SHIP June Audited'!$D$16</f>
        <v>22556.720000000001</v>
      </c>
      <c r="P11" s="9">
        <f>'[14] MIPPA SHIP July'!$C$17+'[14] MIPPA SHIP August '!$C$17</f>
        <v>1077.26</v>
      </c>
      <c r="Q11" s="9">
        <f>'[15] MIPPA SHIP June'!$D$17</f>
        <v>6939.5</v>
      </c>
      <c r="R11" s="9">
        <f>'[16] MIPPA AAA July'!$C$17+'[16] MIPPA AAA August'!$C$17</f>
        <v>765.43</v>
      </c>
      <c r="S11" s="9">
        <f>'[17] MIPPA AAA August'!$D$17</f>
        <v>7798.03</v>
      </c>
      <c r="T11" s="9"/>
      <c r="U11" s="9">
        <f>'[19] MIPPA ADRC June'!$D$17</f>
        <v>988.48</v>
      </c>
      <c r="V11" s="9">
        <v>0</v>
      </c>
      <c r="W11" s="9">
        <f>'[21]ESMP June-Audited'!$D$50+'[21]ESMP June-Audited'!$D$15</f>
        <v>22620.010000000002</v>
      </c>
      <c r="X11" s="9">
        <f>'[22]ADVC June-Final'!$D$42</f>
        <v>3088.6500000000005</v>
      </c>
      <c r="Y11" s="9">
        <f>'[23]INNU May'!$D$42</f>
        <v>838.2600000000001</v>
      </c>
      <c r="Z11" s="9">
        <v>3386.02</v>
      </c>
      <c r="AA11" s="9">
        <f>9106.64</f>
        <v>9106.64</v>
      </c>
      <c r="AB11" s="9">
        <f>3254.24</f>
        <v>3254.24</v>
      </c>
      <c r="AC11" s="9">
        <f>1948.59</f>
        <v>1948.59</v>
      </c>
      <c r="AD11" s="9">
        <v>0</v>
      </c>
      <c r="AE11" s="9">
        <f>14739.23</f>
        <v>14739.23</v>
      </c>
      <c r="AF11" s="9">
        <v>22089.86</v>
      </c>
      <c r="AG11" s="9">
        <v>3180.79</v>
      </c>
      <c r="AH11" s="9">
        <f>2205.65</f>
        <v>2205.65</v>
      </c>
      <c r="AI11" s="9">
        <v>250.07</v>
      </c>
      <c r="AJ11" s="9">
        <v>2060.36</v>
      </c>
      <c r="AK11" s="9">
        <v>194.24</v>
      </c>
      <c r="AL11" s="9">
        <v>582.91999999999996</v>
      </c>
      <c r="AM11" s="9">
        <v>577.67999999999995</v>
      </c>
      <c r="AN11" s="9">
        <f>26588.12</f>
        <v>26588.12</v>
      </c>
      <c r="AO11" s="9">
        <f>3034.72</f>
        <v>3034.72</v>
      </c>
      <c r="AP11" s="9">
        <f>43602.39</f>
        <v>43602.39</v>
      </c>
      <c r="AQ11" s="9">
        <f>53563.6</f>
        <v>53563.6</v>
      </c>
      <c r="AR11" s="9">
        <f>14288.28</f>
        <v>14288.28</v>
      </c>
      <c r="AS11" s="9">
        <f>21410.64</f>
        <v>21410.639999999999</v>
      </c>
      <c r="AT11" s="9">
        <f>3105.55+2069.68+55.29</f>
        <v>5230.5199999999995</v>
      </c>
      <c r="AU11" s="9">
        <v>322049.26</v>
      </c>
      <c r="AV11" s="9">
        <f>76958.17</f>
        <v>76958.17</v>
      </c>
      <c r="AW11" s="9">
        <v>0</v>
      </c>
      <c r="AX11" s="9">
        <v>0</v>
      </c>
      <c r="AY11" s="9">
        <v>0</v>
      </c>
    </row>
    <row r="12" spans="1:51" ht="30" x14ac:dyDescent="0.25">
      <c r="A12" s="23" t="s">
        <v>30</v>
      </c>
      <c r="B12" s="11">
        <f>B11/B6</f>
        <v>2.9128678776947012E-2</v>
      </c>
      <c r="C12" s="11">
        <f t="shared" ref="C12:AY12" si="10">C11/C6</f>
        <v>0</v>
      </c>
      <c r="D12" s="11">
        <f t="shared" si="10"/>
        <v>1.9485811359373661E-2</v>
      </c>
      <c r="E12" s="11">
        <f t="shared" si="10"/>
        <v>2.1121625608217436E-2</v>
      </c>
      <c r="F12" s="11">
        <f t="shared" si="10"/>
        <v>0</v>
      </c>
      <c r="G12" s="11">
        <f t="shared" si="10"/>
        <v>5.0508181089120543E-2</v>
      </c>
      <c r="H12" s="11">
        <f t="shared" si="10"/>
        <v>0</v>
      </c>
      <c r="I12" s="11">
        <f t="shared" si="10"/>
        <v>0</v>
      </c>
      <c r="J12" s="11">
        <v>0</v>
      </c>
      <c r="K12" s="11">
        <f t="shared" si="10"/>
        <v>0</v>
      </c>
      <c r="L12" s="11">
        <f t="shared" si="10"/>
        <v>0.11054980822260782</v>
      </c>
      <c r="M12" s="11">
        <f t="shared" si="10"/>
        <v>0</v>
      </c>
      <c r="N12" s="11">
        <f t="shared" si="10"/>
        <v>0.11516519612790388</v>
      </c>
      <c r="O12" s="11">
        <f t="shared" si="10"/>
        <v>0.20506109090909092</v>
      </c>
      <c r="P12" s="11">
        <f t="shared" si="10"/>
        <v>5.0530939329662704E-2</v>
      </c>
      <c r="Q12" s="11">
        <f t="shared" si="10"/>
        <v>0.19264081281403547</v>
      </c>
      <c r="R12" s="11">
        <f t="shared" si="10"/>
        <v>2.7833484180008014E-2</v>
      </c>
      <c r="S12" s="11">
        <f t="shared" si="10"/>
        <v>0.21254408678350459</v>
      </c>
      <c r="T12" s="11">
        <f t="shared" si="10"/>
        <v>0</v>
      </c>
      <c r="U12" s="11">
        <f t="shared" si="10"/>
        <v>0.256215655780197</v>
      </c>
      <c r="V12" s="11">
        <f t="shared" si="10"/>
        <v>0</v>
      </c>
      <c r="W12" s="11">
        <f t="shared" si="10"/>
        <v>2.1252201920219215E-2</v>
      </c>
      <c r="X12" s="11">
        <f t="shared" si="10"/>
        <v>4.0112337662337669E-2</v>
      </c>
      <c r="Y12" s="11">
        <f t="shared" si="10"/>
        <v>0.23943444730077124</v>
      </c>
      <c r="Z12" s="11">
        <f t="shared" si="10"/>
        <v>0.24352270120171199</v>
      </c>
      <c r="AA12" s="11">
        <f t="shared" si="10"/>
        <v>0.20055586143105686</v>
      </c>
      <c r="AB12" s="11">
        <f>AB11/AB6</f>
        <v>0.36086050121978264</v>
      </c>
      <c r="AC12" s="11">
        <f>AC11/AC6</f>
        <v>0.23676670716889428</v>
      </c>
      <c r="AD12" s="11">
        <f>AD11/AD6</f>
        <v>0</v>
      </c>
      <c r="AE12" s="11">
        <f t="shared" si="10"/>
        <v>0.19976457991678298</v>
      </c>
      <c r="AF12" s="11">
        <f t="shared" si="10"/>
        <v>0.24222931333201747</v>
      </c>
      <c r="AG12" s="11">
        <f t="shared" si="10"/>
        <v>0.17426121733413685</v>
      </c>
      <c r="AH12" s="11">
        <f t="shared" si="10"/>
        <v>0.26647940074906368</v>
      </c>
      <c r="AI12" s="11">
        <f t="shared" si="10"/>
        <v>4.4088504936530326E-2</v>
      </c>
      <c r="AJ12" s="11">
        <f t="shared" si="10"/>
        <v>0.16268140544808529</v>
      </c>
      <c r="AK12" s="11">
        <f t="shared" si="10"/>
        <v>3.3409012727898181E-2</v>
      </c>
      <c r="AL12" s="11">
        <f t="shared" si="10"/>
        <v>0.24720949957591176</v>
      </c>
      <c r="AM12" s="11">
        <f t="shared" si="10"/>
        <v>0.16671861471861471</v>
      </c>
      <c r="AN12" s="11">
        <f t="shared" si="10"/>
        <v>0.22509164519086353</v>
      </c>
      <c r="AO12" s="11">
        <f t="shared" si="10"/>
        <v>0.24022506455407422</v>
      </c>
      <c r="AP12" s="11">
        <f t="shared" si="10"/>
        <v>0.21249394961518286</v>
      </c>
      <c r="AQ12" s="11">
        <f t="shared" si="10"/>
        <v>0.23786539482069147</v>
      </c>
      <c r="AR12" s="11">
        <f t="shared" si="10"/>
        <v>0.23423409836065576</v>
      </c>
      <c r="AS12" s="11">
        <f t="shared" si="10"/>
        <v>0.23089973794040569</v>
      </c>
      <c r="AT12" s="11">
        <f t="shared" si="10"/>
        <v>0.23993211009174309</v>
      </c>
      <c r="AU12" s="11">
        <f t="shared" si="10"/>
        <v>0.18333910782163265</v>
      </c>
      <c r="AV12" s="11">
        <f t="shared" si="10"/>
        <v>5.1093714314547185E-2</v>
      </c>
      <c r="AW12" s="11">
        <f t="shared" si="10"/>
        <v>0</v>
      </c>
      <c r="AX12" s="11">
        <f t="shared" si="10"/>
        <v>0</v>
      </c>
      <c r="AY12" s="11">
        <f t="shared" si="10"/>
        <v>0</v>
      </c>
    </row>
    <row r="13" spans="1:51" x14ac:dyDescent="0.25">
      <c r="A13" s="21" t="s">
        <v>31</v>
      </c>
      <c r="B13" s="12">
        <f>B6-B7-B9-B11</f>
        <v>1005894.9000000004</v>
      </c>
      <c r="C13" s="12">
        <f t="shared" ref="C13:V13" si="11">C6-C7-C9-C11</f>
        <v>32657.839999999982</v>
      </c>
      <c r="D13" s="12">
        <f t="shared" si="11"/>
        <v>387488.12000000017</v>
      </c>
      <c r="E13" s="12">
        <f t="shared" si="11"/>
        <v>109603.24750000006</v>
      </c>
      <c r="F13" s="12">
        <f t="shared" si="11"/>
        <v>149576.47</v>
      </c>
      <c r="G13" s="12">
        <f t="shared" si="11"/>
        <v>387285.4375</v>
      </c>
      <c r="H13" s="12">
        <f t="shared" si="11"/>
        <v>266.54999999999927</v>
      </c>
      <c r="I13" s="12">
        <f t="shared" si="11"/>
        <v>336.60999999999331</v>
      </c>
      <c r="J13" s="12">
        <f t="shared" si="11"/>
        <v>0</v>
      </c>
      <c r="K13" s="12">
        <f t="shared" si="11"/>
        <v>5.1500000000232831</v>
      </c>
      <c r="L13" s="12">
        <f t="shared" si="11"/>
        <v>1.5700000000215368</v>
      </c>
      <c r="M13" s="12">
        <f t="shared" si="11"/>
        <v>11955.169999999984</v>
      </c>
      <c r="N13" s="12">
        <f t="shared" si="11"/>
        <v>28808.619999999879</v>
      </c>
      <c r="O13" s="12">
        <f t="shared" si="11"/>
        <v>22.94000000001688</v>
      </c>
      <c r="P13" s="12">
        <f t="shared" si="11"/>
        <v>16120.280000000004</v>
      </c>
      <c r="Q13" s="12">
        <f t="shared" si="11"/>
        <v>2209.0299999999988</v>
      </c>
      <c r="R13" s="12">
        <f t="shared" si="11"/>
        <v>23972.030000000006</v>
      </c>
      <c r="S13" s="12">
        <f t="shared" si="11"/>
        <v>1397.6000000000049</v>
      </c>
      <c r="T13" s="12">
        <f t="shared" si="11"/>
        <v>76.319999999999538</v>
      </c>
      <c r="U13" s="12">
        <f t="shared" si="11"/>
        <v>2.6600000000003092</v>
      </c>
      <c r="V13" s="12">
        <f t="shared" si="11"/>
        <v>65850</v>
      </c>
      <c r="W13" s="12">
        <f t="shared" ref="W13:Y13" si="12">W6-W7-W9-W11</f>
        <v>2129.3524999999281</v>
      </c>
      <c r="X13" s="12">
        <f t="shared" si="12"/>
        <v>19929.75</v>
      </c>
      <c r="Y13" s="12">
        <f t="shared" si="12"/>
        <v>13.330000000000041</v>
      </c>
      <c r="Z13" s="12">
        <f>Z6-Z7-Z9-Z11</f>
        <v>-190.67999999999984</v>
      </c>
      <c r="AA13" s="12">
        <f>AA6-AA7-AA9-AA11</f>
        <v>7449.6600000000035</v>
      </c>
      <c r="AB13" s="12">
        <f>AB6-AB7-AB9-AB11</f>
        <v>-4528.4600000000009</v>
      </c>
      <c r="AC13" s="12">
        <f>AC6-AC7-AC9-AC11</f>
        <v>118.59000000000037</v>
      </c>
      <c r="AD13" s="12">
        <f>AD6-AD7-AD9-AD11</f>
        <v>4775</v>
      </c>
      <c r="AE13" s="12">
        <f t="shared" ref="AE13:AY13" si="13">AE6-AE7-AE9-AE11</f>
        <v>11624.730000000003</v>
      </c>
      <c r="AF13" s="12">
        <f t="shared" si="13"/>
        <v>-934.07000000000335</v>
      </c>
      <c r="AG13" s="12">
        <f>AG6-AG7-AG9-AG11</f>
        <v>-1087.7200000000003</v>
      </c>
      <c r="AH13" s="12">
        <f t="shared" ref="AH13:AI13" si="14">AH6-AH7-AH9-AH11</f>
        <v>-934.21000000000026</v>
      </c>
      <c r="AI13" s="12">
        <f t="shared" si="14"/>
        <v>4631.0200000000004</v>
      </c>
      <c r="AJ13" s="12">
        <f t="shared" si="13"/>
        <v>3962.3300000000004</v>
      </c>
      <c r="AK13" s="12">
        <f t="shared" si="13"/>
        <v>4978.7200000000012</v>
      </c>
      <c r="AL13" s="12">
        <f t="shared" si="13"/>
        <v>-68.53999999999985</v>
      </c>
      <c r="AM13" s="12">
        <f t="shared" si="13"/>
        <v>1060.3000000000002</v>
      </c>
      <c r="AN13" s="12">
        <f>AN6-AN7-AN9-AN11</f>
        <v>0</v>
      </c>
      <c r="AO13" s="12">
        <f t="shared" si="13"/>
        <v>0</v>
      </c>
      <c r="AP13" s="12">
        <f t="shared" si="13"/>
        <v>0</v>
      </c>
      <c r="AQ13" s="12">
        <f t="shared" si="13"/>
        <v>0</v>
      </c>
      <c r="AR13" s="12">
        <f t="shared" si="13"/>
        <v>73.940000000002328</v>
      </c>
      <c r="AS13" s="12">
        <f t="shared" si="13"/>
        <v>3248.1000000000058</v>
      </c>
      <c r="AT13" s="12">
        <f t="shared" si="13"/>
        <v>26.830000000002656</v>
      </c>
      <c r="AU13" s="9">
        <f t="shared" si="13"/>
        <v>92973.909999999974</v>
      </c>
      <c r="AV13" s="12">
        <f t="shared" si="13"/>
        <v>808024.13</v>
      </c>
      <c r="AW13" s="12">
        <f t="shared" si="13"/>
        <v>605625</v>
      </c>
      <c r="AX13" s="12">
        <f t="shared" si="13"/>
        <v>4662.4800000000032</v>
      </c>
      <c r="AY13" s="12">
        <f t="shared" si="13"/>
        <v>0.38000000000465661</v>
      </c>
    </row>
    <row r="14" spans="1:51" s="41" customFormat="1" ht="409.5" customHeight="1" x14ac:dyDescent="0.25">
      <c r="A14" s="24" t="s">
        <v>32</v>
      </c>
      <c r="B14" s="13" t="s">
        <v>144</v>
      </c>
      <c r="C14" s="13" t="s">
        <v>144</v>
      </c>
      <c r="D14" s="13" t="s">
        <v>144</v>
      </c>
      <c r="E14" s="13" t="s">
        <v>144</v>
      </c>
      <c r="F14" s="13" t="s">
        <v>145</v>
      </c>
      <c r="G14" s="13" t="s">
        <v>144</v>
      </c>
      <c r="H14" s="13" t="s">
        <v>144</v>
      </c>
      <c r="I14" s="13" t="s">
        <v>144</v>
      </c>
      <c r="J14" s="13" t="s">
        <v>146</v>
      </c>
      <c r="K14" s="13" t="s">
        <v>147</v>
      </c>
      <c r="L14" s="13" t="s">
        <v>147</v>
      </c>
      <c r="M14" s="13" t="s">
        <v>148</v>
      </c>
      <c r="N14" s="13" t="s">
        <v>34</v>
      </c>
      <c r="O14" s="13" t="s">
        <v>147</v>
      </c>
      <c r="P14" s="13" t="s">
        <v>149</v>
      </c>
      <c r="Q14" s="13" t="s">
        <v>33</v>
      </c>
      <c r="R14" s="13" t="s">
        <v>149</v>
      </c>
      <c r="S14" s="13" t="s">
        <v>33</v>
      </c>
      <c r="T14" s="13" t="s">
        <v>147</v>
      </c>
      <c r="U14" s="13" t="s">
        <v>33</v>
      </c>
      <c r="V14" s="13" t="s">
        <v>172</v>
      </c>
      <c r="W14" s="30" t="s">
        <v>150</v>
      </c>
      <c r="X14" s="30" t="s">
        <v>151</v>
      </c>
      <c r="Y14" s="13" t="s">
        <v>147</v>
      </c>
      <c r="Z14" s="13" t="s">
        <v>173</v>
      </c>
      <c r="AA14" s="13" t="s">
        <v>119</v>
      </c>
      <c r="AB14" s="13" t="s">
        <v>181</v>
      </c>
      <c r="AC14" s="13" t="s">
        <v>125</v>
      </c>
      <c r="AD14" s="13" t="s">
        <v>128</v>
      </c>
      <c r="AE14" s="13" t="s">
        <v>126</v>
      </c>
      <c r="AF14" s="13" t="s">
        <v>127</v>
      </c>
      <c r="AG14" s="13" t="s">
        <v>131</v>
      </c>
      <c r="AH14" s="13" t="s">
        <v>130</v>
      </c>
      <c r="AI14" s="13" t="s">
        <v>130</v>
      </c>
      <c r="AJ14" s="13" t="s">
        <v>129</v>
      </c>
      <c r="AK14" s="13" t="s">
        <v>132</v>
      </c>
      <c r="AL14" s="13" t="s">
        <v>133</v>
      </c>
      <c r="AM14" s="13" t="s">
        <v>119</v>
      </c>
      <c r="AN14" s="13"/>
      <c r="AO14" s="13"/>
      <c r="AP14" s="13"/>
      <c r="AQ14" s="13"/>
      <c r="AR14" s="13" t="s">
        <v>117</v>
      </c>
      <c r="AS14" s="13" t="s">
        <v>183</v>
      </c>
      <c r="AT14" s="13" t="s">
        <v>117</v>
      </c>
      <c r="AU14" s="13" t="s">
        <v>184</v>
      </c>
      <c r="AV14" s="13" t="s">
        <v>169</v>
      </c>
      <c r="AW14" s="13" t="s">
        <v>116</v>
      </c>
      <c r="AX14" s="13" t="s">
        <v>186</v>
      </c>
      <c r="AY14" s="13" t="s">
        <v>186</v>
      </c>
    </row>
    <row r="15" spans="1:51" s="41" customFormat="1" x14ac:dyDescent="0.25">
      <c r="A15" s="25"/>
      <c r="B15" s="31"/>
      <c r="C15" s="31"/>
      <c r="D15" s="31"/>
      <c r="E15" s="31"/>
      <c r="F15" s="31"/>
      <c r="G15" s="32"/>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row>
    <row r="16" spans="1:51" s="41" customFormat="1" ht="409.5" x14ac:dyDescent="0.25">
      <c r="A16" s="24" t="s">
        <v>35</v>
      </c>
      <c r="B16" s="13" t="s">
        <v>36</v>
      </c>
      <c r="C16" s="13" t="s">
        <v>23</v>
      </c>
      <c r="D16" s="30"/>
      <c r="E16" s="13" t="s">
        <v>23</v>
      </c>
      <c r="F16" s="13" t="s">
        <v>37</v>
      </c>
      <c r="G16" s="13" t="s">
        <v>38</v>
      </c>
      <c r="H16" s="13" t="s">
        <v>23</v>
      </c>
      <c r="I16" s="13" t="s">
        <v>23</v>
      </c>
      <c r="J16" s="13" t="s">
        <v>23</v>
      </c>
      <c r="K16" s="13" t="s">
        <v>23</v>
      </c>
      <c r="L16" s="13" t="s">
        <v>39</v>
      </c>
      <c r="M16" s="13" t="s">
        <v>23</v>
      </c>
      <c r="N16" s="13" t="s">
        <v>40</v>
      </c>
      <c r="O16" s="13" t="s">
        <v>41</v>
      </c>
      <c r="P16" s="13" t="s">
        <v>42</v>
      </c>
      <c r="Q16" s="13" t="s">
        <v>42</v>
      </c>
      <c r="R16" s="13" t="s">
        <v>43</v>
      </c>
      <c r="S16" s="13" t="s">
        <v>43</v>
      </c>
      <c r="T16" s="13" t="s">
        <v>44</v>
      </c>
      <c r="U16" s="13" t="s">
        <v>44</v>
      </c>
      <c r="V16" s="13" t="s">
        <v>45</v>
      </c>
      <c r="W16" s="13" t="s">
        <v>152</v>
      </c>
      <c r="X16" s="13" t="s">
        <v>174</v>
      </c>
      <c r="Y16" s="13" t="s">
        <v>153</v>
      </c>
      <c r="Z16" s="13" t="s">
        <v>109</v>
      </c>
      <c r="AA16" s="13" t="s">
        <v>167</v>
      </c>
      <c r="AB16" s="13" t="s">
        <v>110</v>
      </c>
      <c r="AC16" s="13" t="s">
        <v>111</v>
      </c>
      <c r="AD16" s="13" t="s">
        <v>175</v>
      </c>
      <c r="AE16" s="13" t="s">
        <v>92</v>
      </c>
      <c r="AF16" s="13" t="s">
        <v>176</v>
      </c>
      <c r="AG16" s="13" t="s">
        <v>177</v>
      </c>
      <c r="AH16" s="13" t="s">
        <v>93</v>
      </c>
      <c r="AI16" s="13" t="s">
        <v>177</v>
      </c>
      <c r="AJ16" s="13" t="s">
        <v>111</v>
      </c>
      <c r="AK16" s="13" t="s">
        <v>94</v>
      </c>
      <c r="AL16" s="13" t="s">
        <v>168</v>
      </c>
      <c r="AM16" s="13" t="s">
        <v>95</v>
      </c>
      <c r="AN16" s="13" t="s">
        <v>178</v>
      </c>
      <c r="AO16" s="13" t="s">
        <v>96</v>
      </c>
      <c r="AP16" s="48" t="s">
        <v>185</v>
      </c>
      <c r="AQ16" s="49"/>
      <c r="AR16" s="13" t="s">
        <v>97</v>
      </c>
      <c r="AS16" s="13" t="s">
        <v>98</v>
      </c>
      <c r="AT16" s="13" t="s">
        <v>182</v>
      </c>
      <c r="AU16" s="13" t="s">
        <v>170</v>
      </c>
      <c r="AV16" s="13" t="s">
        <v>99</v>
      </c>
      <c r="AW16" s="13" t="s">
        <v>171</v>
      </c>
      <c r="AX16" s="13"/>
      <c r="AY16" s="13"/>
    </row>
    <row r="17" spans="1:51" s="41" customFormat="1" x14ac:dyDescent="0.25">
      <c r="A17" s="2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row>
    <row r="18" spans="1:51" s="41" customFormat="1" ht="255" x14ac:dyDescent="0.25">
      <c r="A18" s="45" t="s">
        <v>46</v>
      </c>
      <c r="B18" s="13" t="s">
        <v>47</v>
      </c>
      <c r="C18" s="13" t="s">
        <v>179</v>
      </c>
      <c r="D18" s="13" t="s">
        <v>48</v>
      </c>
      <c r="E18" s="13" t="s">
        <v>48</v>
      </c>
      <c r="F18" s="13" t="s">
        <v>49</v>
      </c>
      <c r="G18" s="13" t="s">
        <v>50</v>
      </c>
      <c r="H18" s="13" t="s">
        <v>51</v>
      </c>
      <c r="I18" s="13" t="s">
        <v>179</v>
      </c>
      <c r="J18" s="13" t="s">
        <v>52</v>
      </c>
      <c r="K18" s="13" t="s">
        <v>52</v>
      </c>
      <c r="L18" s="13" t="s">
        <v>53</v>
      </c>
      <c r="M18" s="13" t="s">
        <v>180</v>
      </c>
      <c r="N18" s="13" t="s">
        <v>54</v>
      </c>
      <c r="O18" s="13"/>
      <c r="P18" s="13"/>
      <c r="Q18" s="13"/>
      <c r="R18" s="13"/>
      <c r="S18" s="13"/>
      <c r="T18" s="13"/>
      <c r="U18" s="13"/>
      <c r="V18" s="13"/>
      <c r="W18" s="13" t="s">
        <v>48</v>
      </c>
      <c r="X18" s="13" t="s">
        <v>154</v>
      </c>
      <c r="Y18" s="13"/>
      <c r="Z18" s="50"/>
      <c r="AA18" s="37"/>
      <c r="AB18" s="50"/>
      <c r="AC18" s="50"/>
      <c r="AD18" s="37"/>
      <c r="AE18" s="50"/>
      <c r="AF18" s="50"/>
      <c r="AG18" s="50"/>
      <c r="AH18" s="50"/>
      <c r="AI18" s="50"/>
      <c r="AJ18" s="50"/>
      <c r="AK18" s="50"/>
      <c r="AL18" s="37"/>
      <c r="AM18" s="50"/>
      <c r="AN18" s="50"/>
      <c r="AO18" s="50"/>
      <c r="AP18" s="50"/>
      <c r="AQ18" s="50"/>
      <c r="AR18" s="50"/>
      <c r="AS18" s="50"/>
      <c r="AT18" s="50"/>
      <c r="AU18" s="50" t="s">
        <v>100</v>
      </c>
      <c r="AV18" s="50"/>
      <c r="AW18" s="37"/>
      <c r="AX18" s="37"/>
      <c r="AY18" s="37"/>
    </row>
    <row r="19" spans="1:51" s="41" customFormat="1" ht="150" x14ac:dyDescent="0.25">
      <c r="A19" s="46"/>
      <c r="B19" s="13" t="s">
        <v>55</v>
      </c>
      <c r="C19" s="13"/>
      <c r="D19" s="13" t="s">
        <v>56</v>
      </c>
      <c r="E19" s="13" t="s">
        <v>56</v>
      </c>
      <c r="F19" s="13" t="s">
        <v>155</v>
      </c>
      <c r="G19" s="13" t="s">
        <v>57</v>
      </c>
      <c r="H19" s="13"/>
      <c r="I19" s="13"/>
      <c r="J19" s="13" t="s">
        <v>58</v>
      </c>
      <c r="K19" s="13" t="s">
        <v>58</v>
      </c>
      <c r="L19" s="13"/>
      <c r="M19" s="13"/>
      <c r="N19" s="13" t="s">
        <v>59</v>
      </c>
      <c r="O19" s="13"/>
      <c r="P19" s="13"/>
      <c r="Q19" s="13"/>
      <c r="R19" s="13"/>
      <c r="S19" s="13"/>
      <c r="T19" s="13"/>
      <c r="U19" s="13"/>
      <c r="V19" s="13"/>
      <c r="W19" s="13" t="s">
        <v>56</v>
      </c>
      <c r="X19" s="13" t="s">
        <v>156</v>
      </c>
      <c r="Y19" s="13"/>
      <c r="Z19" s="51"/>
      <c r="AA19" s="38"/>
      <c r="AB19" s="51"/>
      <c r="AC19" s="51"/>
      <c r="AD19" s="38"/>
      <c r="AE19" s="51"/>
      <c r="AF19" s="51"/>
      <c r="AG19" s="51"/>
      <c r="AH19" s="51"/>
      <c r="AI19" s="51"/>
      <c r="AJ19" s="51"/>
      <c r="AK19" s="51"/>
      <c r="AL19" s="38"/>
      <c r="AM19" s="51"/>
      <c r="AN19" s="51"/>
      <c r="AO19" s="51"/>
      <c r="AP19" s="51"/>
      <c r="AQ19" s="51"/>
      <c r="AR19" s="51"/>
      <c r="AS19" s="51"/>
      <c r="AT19" s="51"/>
      <c r="AU19" s="51"/>
      <c r="AV19" s="51"/>
      <c r="AW19" s="38"/>
      <c r="AX19" s="38"/>
      <c r="AY19" s="38"/>
    </row>
    <row r="20" spans="1:51" s="41" customFormat="1" ht="90" x14ac:dyDescent="0.25">
      <c r="A20" s="46"/>
      <c r="B20" s="13" t="s">
        <v>60</v>
      </c>
      <c r="C20" s="13"/>
      <c r="D20" s="13" t="s">
        <v>61</v>
      </c>
      <c r="E20" s="13" t="s">
        <v>61</v>
      </c>
      <c r="F20" s="13" t="s">
        <v>62</v>
      </c>
      <c r="G20" s="13" t="s">
        <v>63</v>
      </c>
      <c r="H20" s="13"/>
      <c r="I20" s="13"/>
      <c r="J20" s="13"/>
      <c r="K20" s="13"/>
      <c r="L20" s="13"/>
      <c r="M20" s="13"/>
      <c r="N20" s="13" t="s">
        <v>157</v>
      </c>
      <c r="O20" s="13"/>
      <c r="P20" s="13"/>
      <c r="Q20" s="13"/>
      <c r="R20" s="13"/>
      <c r="S20" s="13"/>
      <c r="T20" s="13"/>
      <c r="U20" s="13"/>
      <c r="V20" s="13"/>
      <c r="W20" s="13" t="s">
        <v>61</v>
      </c>
      <c r="X20" s="13" t="s">
        <v>156</v>
      </c>
      <c r="Y20" s="13"/>
      <c r="Z20" s="51"/>
      <c r="AA20" s="38"/>
      <c r="AB20" s="51"/>
      <c r="AC20" s="51"/>
      <c r="AD20" s="38"/>
      <c r="AE20" s="51"/>
      <c r="AF20" s="51"/>
      <c r="AG20" s="51"/>
      <c r="AH20" s="51"/>
      <c r="AI20" s="51"/>
      <c r="AJ20" s="51"/>
      <c r="AK20" s="51"/>
      <c r="AL20" s="38"/>
      <c r="AM20" s="51"/>
      <c r="AN20" s="51"/>
      <c r="AO20" s="51"/>
      <c r="AP20" s="51"/>
      <c r="AQ20" s="51"/>
      <c r="AR20" s="51"/>
      <c r="AS20" s="51"/>
      <c r="AT20" s="51"/>
      <c r="AU20" s="51"/>
      <c r="AV20" s="51"/>
      <c r="AW20" s="38"/>
      <c r="AX20" s="38"/>
      <c r="AY20" s="38"/>
    </row>
    <row r="21" spans="1:51" s="41" customFormat="1" ht="120" x14ac:dyDescent="0.25">
      <c r="A21" s="46"/>
      <c r="B21" s="13" t="s">
        <v>64</v>
      </c>
      <c r="C21" s="13"/>
      <c r="D21" s="13" t="s">
        <v>65</v>
      </c>
      <c r="E21" s="13" t="s">
        <v>66</v>
      </c>
      <c r="F21" s="13"/>
      <c r="G21" s="13"/>
      <c r="H21" s="13"/>
      <c r="I21" s="13"/>
      <c r="J21" s="13"/>
      <c r="K21" s="13"/>
      <c r="L21" s="13"/>
      <c r="M21" s="13"/>
      <c r="N21" s="13" t="s">
        <v>158</v>
      </c>
      <c r="O21" s="13"/>
      <c r="P21" s="13"/>
      <c r="Q21" s="13"/>
      <c r="R21" s="13"/>
      <c r="S21" s="13"/>
      <c r="T21" s="13"/>
      <c r="U21" s="13"/>
      <c r="V21" s="13"/>
      <c r="W21" s="13" t="s">
        <v>66</v>
      </c>
      <c r="X21" s="13" t="s">
        <v>159</v>
      </c>
      <c r="Y21" s="13"/>
      <c r="Z21" s="51"/>
      <c r="AA21" s="38"/>
      <c r="AB21" s="51"/>
      <c r="AC21" s="51"/>
      <c r="AD21" s="38"/>
      <c r="AE21" s="51"/>
      <c r="AF21" s="51"/>
      <c r="AG21" s="51"/>
      <c r="AH21" s="51"/>
      <c r="AI21" s="51"/>
      <c r="AJ21" s="51"/>
      <c r="AK21" s="51"/>
      <c r="AL21" s="38"/>
      <c r="AM21" s="51"/>
      <c r="AN21" s="51"/>
      <c r="AO21" s="51"/>
      <c r="AP21" s="51"/>
      <c r="AQ21" s="51"/>
      <c r="AR21" s="51"/>
      <c r="AS21" s="51"/>
      <c r="AT21" s="51"/>
      <c r="AU21" s="51"/>
      <c r="AV21" s="51"/>
      <c r="AW21" s="38"/>
      <c r="AX21" s="38"/>
      <c r="AY21" s="38"/>
    </row>
    <row r="22" spans="1:51" s="41" customFormat="1" ht="120" x14ac:dyDescent="0.25">
      <c r="A22" s="46"/>
      <c r="B22" s="13" t="s">
        <v>64</v>
      </c>
      <c r="C22" s="13"/>
      <c r="D22" s="13" t="s">
        <v>58</v>
      </c>
      <c r="E22" s="13" t="s">
        <v>58</v>
      </c>
      <c r="F22" s="13"/>
      <c r="G22" s="13"/>
      <c r="H22" s="13"/>
      <c r="I22" s="13"/>
      <c r="J22" s="13"/>
      <c r="K22" s="13"/>
      <c r="L22" s="13"/>
      <c r="M22" s="13"/>
      <c r="N22" s="13" t="s">
        <v>160</v>
      </c>
      <c r="O22" s="13"/>
      <c r="P22" s="13"/>
      <c r="Q22" s="13"/>
      <c r="R22" s="13"/>
      <c r="S22" s="13"/>
      <c r="T22" s="13"/>
      <c r="U22" s="13"/>
      <c r="V22" s="13"/>
      <c r="W22" s="13" t="s">
        <v>58</v>
      </c>
      <c r="X22" s="13" t="s">
        <v>161</v>
      </c>
      <c r="Y22" s="13"/>
      <c r="Z22" s="51"/>
      <c r="AA22" s="38"/>
      <c r="AB22" s="51"/>
      <c r="AC22" s="51"/>
      <c r="AD22" s="38"/>
      <c r="AE22" s="51"/>
      <c r="AF22" s="51"/>
      <c r="AG22" s="51"/>
      <c r="AH22" s="51"/>
      <c r="AI22" s="51"/>
      <c r="AJ22" s="51"/>
      <c r="AK22" s="51"/>
      <c r="AL22" s="38"/>
      <c r="AM22" s="51"/>
      <c r="AN22" s="51"/>
      <c r="AO22" s="51"/>
      <c r="AP22" s="51"/>
      <c r="AQ22" s="51"/>
      <c r="AR22" s="51"/>
      <c r="AS22" s="51"/>
      <c r="AT22" s="51"/>
      <c r="AU22" s="51"/>
      <c r="AV22" s="51"/>
      <c r="AW22" s="38"/>
      <c r="AX22" s="38"/>
      <c r="AY22" s="38"/>
    </row>
    <row r="23" spans="1:51" s="41" customFormat="1" ht="120" x14ac:dyDescent="0.25">
      <c r="A23" s="46"/>
      <c r="B23" s="13" t="s">
        <v>64</v>
      </c>
      <c r="C23" s="13"/>
      <c r="D23" s="13"/>
      <c r="E23" s="13"/>
      <c r="F23" s="13"/>
      <c r="G23" s="13"/>
      <c r="H23" s="13"/>
      <c r="I23" s="13"/>
      <c r="J23" s="13"/>
      <c r="K23" s="13"/>
      <c r="L23" s="13"/>
      <c r="M23" s="13"/>
      <c r="N23" s="13" t="s">
        <v>162</v>
      </c>
      <c r="O23" s="13"/>
      <c r="P23" s="13"/>
      <c r="Q23" s="13"/>
      <c r="R23" s="13"/>
      <c r="S23" s="13"/>
      <c r="T23" s="13"/>
      <c r="U23" s="13"/>
      <c r="V23" s="13"/>
      <c r="W23" s="13"/>
      <c r="X23" s="13"/>
      <c r="Y23" s="13"/>
      <c r="Z23" s="51"/>
      <c r="AA23" s="38"/>
      <c r="AB23" s="51"/>
      <c r="AC23" s="51"/>
      <c r="AD23" s="38"/>
      <c r="AE23" s="51"/>
      <c r="AF23" s="51"/>
      <c r="AG23" s="51"/>
      <c r="AH23" s="51"/>
      <c r="AI23" s="51"/>
      <c r="AJ23" s="51"/>
      <c r="AK23" s="51"/>
      <c r="AL23" s="38"/>
      <c r="AM23" s="51"/>
      <c r="AN23" s="51"/>
      <c r="AO23" s="51"/>
      <c r="AP23" s="51"/>
      <c r="AQ23" s="51"/>
      <c r="AR23" s="51"/>
      <c r="AS23" s="51"/>
      <c r="AT23" s="51"/>
      <c r="AU23" s="51"/>
      <c r="AV23" s="51"/>
      <c r="AW23" s="38"/>
      <c r="AX23" s="38"/>
      <c r="AY23" s="38"/>
    </row>
    <row r="24" spans="1:51" s="41" customFormat="1" ht="165" x14ac:dyDescent="0.25">
      <c r="A24" s="46"/>
      <c r="B24" s="13" t="s">
        <v>67</v>
      </c>
      <c r="C24" s="13"/>
      <c r="D24" s="13"/>
      <c r="E24" s="13"/>
      <c r="F24" s="13"/>
      <c r="G24" s="13"/>
      <c r="H24" s="13"/>
      <c r="I24" s="13"/>
      <c r="J24" s="13"/>
      <c r="K24" s="13"/>
      <c r="L24" s="13"/>
      <c r="M24" s="13"/>
      <c r="N24" s="13" t="s">
        <v>163</v>
      </c>
      <c r="O24" s="13"/>
      <c r="P24" s="13"/>
      <c r="Q24" s="13"/>
      <c r="R24" s="13"/>
      <c r="S24" s="13"/>
      <c r="T24" s="13"/>
      <c r="U24" s="13"/>
      <c r="V24" s="13"/>
      <c r="W24" s="13"/>
      <c r="X24" s="13"/>
      <c r="Y24" s="13"/>
      <c r="Z24" s="51"/>
      <c r="AA24" s="38"/>
      <c r="AB24" s="51"/>
      <c r="AC24" s="51"/>
      <c r="AD24" s="38"/>
      <c r="AE24" s="51"/>
      <c r="AF24" s="51"/>
      <c r="AG24" s="51"/>
      <c r="AH24" s="51"/>
      <c r="AI24" s="51"/>
      <c r="AJ24" s="51"/>
      <c r="AK24" s="51"/>
      <c r="AL24" s="38"/>
      <c r="AM24" s="51"/>
      <c r="AN24" s="51"/>
      <c r="AO24" s="51"/>
      <c r="AP24" s="51"/>
      <c r="AQ24" s="51"/>
      <c r="AR24" s="51"/>
      <c r="AS24" s="51"/>
      <c r="AT24" s="51"/>
      <c r="AU24" s="51"/>
      <c r="AV24" s="51"/>
      <c r="AW24" s="38"/>
      <c r="AX24" s="38"/>
      <c r="AY24" s="38"/>
    </row>
    <row r="25" spans="1:51" s="41" customFormat="1" ht="165" x14ac:dyDescent="0.25">
      <c r="A25" s="46"/>
      <c r="B25" s="13" t="s">
        <v>68</v>
      </c>
      <c r="C25" s="13"/>
      <c r="D25" s="13"/>
      <c r="E25" s="13"/>
      <c r="F25" s="13"/>
      <c r="G25" s="13"/>
      <c r="H25" s="13"/>
      <c r="I25" s="13"/>
      <c r="J25" s="13"/>
      <c r="K25" s="13"/>
      <c r="L25" s="13"/>
      <c r="M25" s="13"/>
      <c r="N25" s="13" t="s">
        <v>164</v>
      </c>
      <c r="O25" s="13"/>
      <c r="P25" s="13"/>
      <c r="Q25" s="13"/>
      <c r="R25" s="13"/>
      <c r="S25" s="13"/>
      <c r="T25" s="13"/>
      <c r="U25" s="13"/>
      <c r="V25" s="13"/>
      <c r="W25" s="13"/>
      <c r="X25" s="13"/>
      <c r="Y25" s="13"/>
      <c r="Z25" s="51"/>
      <c r="AA25" s="38"/>
      <c r="AB25" s="51"/>
      <c r="AC25" s="51"/>
      <c r="AD25" s="38"/>
      <c r="AE25" s="51"/>
      <c r="AF25" s="51"/>
      <c r="AG25" s="51"/>
      <c r="AH25" s="51"/>
      <c r="AI25" s="51"/>
      <c r="AJ25" s="51"/>
      <c r="AK25" s="51"/>
      <c r="AL25" s="38"/>
      <c r="AM25" s="51"/>
      <c r="AN25" s="51"/>
      <c r="AO25" s="51"/>
      <c r="AP25" s="51"/>
      <c r="AQ25" s="51"/>
      <c r="AR25" s="51"/>
      <c r="AS25" s="51"/>
      <c r="AT25" s="51"/>
      <c r="AU25" s="51"/>
      <c r="AV25" s="51"/>
      <c r="AW25" s="38"/>
      <c r="AX25" s="38"/>
      <c r="AY25" s="38"/>
    </row>
    <row r="26" spans="1:51" s="41" customFormat="1" ht="165" x14ac:dyDescent="0.25">
      <c r="A26" s="46"/>
      <c r="B26" s="13" t="s">
        <v>69</v>
      </c>
      <c r="C26" s="13"/>
      <c r="D26" s="13"/>
      <c r="E26" s="13"/>
      <c r="F26" s="13"/>
      <c r="G26" s="13"/>
      <c r="H26" s="13"/>
      <c r="I26" s="13"/>
      <c r="J26" s="13"/>
      <c r="K26" s="13"/>
      <c r="L26" s="13"/>
      <c r="M26" s="13"/>
      <c r="N26" s="33" t="s">
        <v>165</v>
      </c>
      <c r="O26" s="13"/>
      <c r="P26" s="13"/>
      <c r="Q26" s="13"/>
      <c r="R26" s="13"/>
      <c r="S26" s="13"/>
      <c r="T26" s="13"/>
      <c r="U26" s="13"/>
      <c r="V26" s="13"/>
      <c r="W26" s="13"/>
      <c r="X26" s="13"/>
      <c r="Y26" s="13"/>
      <c r="Z26" s="51"/>
      <c r="AA26" s="38"/>
      <c r="AB26" s="51"/>
      <c r="AC26" s="51"/>
      <c r="AD26" s="38"/>
      <c r="AE26" s="51"/>
      <c r="AF26" s="51"/>
      <c r="AG26" s="51"/>
      <c r="AH26" s="51"/>
      <c r="AI26" s="51"/>
      <c r="AJ26" s="51"/>
      <c r="AK26" s="51"/>
      <c r="AL26" s="38"/>
      <c r="AM26" s="51"/>
      <c r="AN26" s="51"/>
      <c r="AO26" s="51"/>
      <c r="AP26" s="51"/>
      <c r="AQ26" s="51"/>
      <c r="AR26" s="51"/>
      <c r="AS26" s="51"/>
      <c r="AT26" s="51"/>
      <c r="AU26" s="51"/>
      <c r="AV26" s="51"/>
      <c r="AW26" s="38"/>
      <c r="AX26" s="38"/>
      <c r="AY26" s="38"/>
    </row>
    <row r="27" spans="1:51" s="41" customFormat="1" ht="45" x14ac:dyDescent="0.25">
      <c r="A27" s="46"/>
      <c r="B27" s="13" t="s">
        <v>70</v>
      </c>
      <c r="C27" s="13"/>
      <c r="D27" s="13"/>
      <c r="E27" s="13"/>
      <c r="F27" s="13"/>
      <c r="G27" s="13"/>
      <c r="H27" s="13"/>
      <c r="I27" s="13"/>
      <c r="J27" s="13"/>
      <c r="K27" s="13"/>
      <c r="L27" s="13"/>
      <c r="M27" s="13"/>
      <c r="N27" s="13" t="s">
        <v>166</v>
      </c>
      <c r="O27" s="13"/>
      <c r="P27" s="13"/>
      <c r="Q27" s="13"/>
      <c r="R27" s="13"/>
      <c r="S27" s="13"/>
      <c r="T27" s="13"/>
      <c r="U27" s="13"/>
      <c r="V27" s="13"/>
      <c r="W27" s="13"/>
      <c r="X27" s="13"/>
      <c r="Y27" s="13"/>
      <c r="Z27" s="51"/>
      <c r="AA27" s="38"/>
      <c r="AB27" s="51"/>
      <c r="AC27" s="51"/>
      <c r="AD27" s="38"/>
      <c r="AE27" s="51"/>
      <c r="AF27" s="51"/>
      <c r="AG27" s="51"/>
      <c r="AH27" s="51"/>
      <c r="AI27" s="51"/>
      <c r="AJ27" s="51"/>
      <c r="AK27" s="51"/>
      <c r="AL27" s="38"/>
      <c r="AM27" s="51"/>
      <c r="AN27" s="51"/>
      <c r="AO27" s="51"/>
      <c r="AP27" s="51"/>
      <c r="AQ27" s="51"/>
      <c r="AR27" s="51"/>
      <c r="AS27" s="51"/>
      <c r="AT27" s="51"/>
      <c r="AU27" s="51"/>
      <c r="AV27" s="51"/>
      <c r="AW27" s="38"/>
      <c r="AX27" s="38"/>
      <c r="AY27" s="38"/>
    </row>
    <row r="28" spans="1:51" s="41" customFormat="1" ht="30" x14ac:dyDescent="0.25">
      <c r="A28" s="46"/>
      <c r="B28" s="13" t="s">
        <v>71</v>
      </c>
      <c r="C28" s="13"/>
      <c r="D28" s="13"/>
      <c r="E28" s="13"/>
      <c r="F28" s="13"/>
      <c r="G28" s="13"/>
      <c r="H28" s="13"/>
      <c r="I28" s="13"/>
      <c r="J28" s="13"/>
      <c r="K28" s="13"/>
      <c r="L28" s="13"/>
      <c r="M28" s="13"/>
      <c r="N28" s="13"/>
      <c r="O28" s="13"/>
      <c r="P28" s="13"/>
      <c r="Q28" s="13"/>
      <c r="R28" s="13"/>
      <c r="S28" s="13"/>
      <c r="T28" s="13"/>
      <c r="U28" s="13"/>
      <c r="V28" s="13"/>
      <c r="W28" s="13"/>
      <c r="X28" s="13"/>
      <c r="Y28" s="13"/>
      <c r="Z28" s="51"/>
      <c r="AA28" s="38"/>
      <c r="AB28" s="51"/>
      <c r="AC28" s="51"/>
      <c r="AD28" s="38"/>
      <c r="AE28" s="51"/>
      <c r="AF28" s="51"/>
      <c r="AG28" s="51"/>
      <c r="AH28" s="51"/>
      <c r="AI28" s="51"/>
      <c r="AJ28" s="51"/>
      <c r="AK28" s="51"/>
      <c r="AL28" s="38"/>
      <c r="AM28" s="51"/>
      <c r="AN28" s="51"/>
      <c r="AO28" s="51"/>
      <c r="AP28" s="51"/>
      <c r="AQ28" s="51"/>
      <c r="AR28" s="51"/>
      <c r="AS28" s="51"/>
      <c r="AT28" s="51"/>
      <c r="AU28" s="51"/>
      <c r="AV28" s="51"/>
      <c r="AW28" s="38"/>
      <c r="AX28" s="38"/>
      <c r="AY28" s="38"/>
    </row>
    <row r="29" spans="1:51" s="41" customFormat="1" x14ac:dyDescent="0.25">
      <c r="A29" s="46"/>
      <c r="B29" s="13"/>
      <c r="C29" s="13"/>
      <c r="D29" s="13"/>
      <c r="E29" s="13"/>
      <c r="F29" s="13"/>
      <c r="G29" s="13"/>
      <c r="H29" s="13"/>
      <c r="I29" s="13"/>
      <c r="J29" s="13"/>
      <c r="K29" s="13"/>
      <c r="L29" s="13"/>
      <c r="M29" s="13"/>
      <c r="N29" s="13"/>
      <c r="O29" s="13"/>
      <c r="P29" s="13"/>
      <c r="Q29" s="13"/>
      <c r="R29" s="13"/>
      <c r="S29" s="13"/>
      <c r="T29" s="13"/>
      <c r="U29" s="13"/>
      <c r="V29" s="13"/>
      <c r="W29" s="13"/>
      <c r="X29" s="13"/>
      <c r="Y29" s="13"/>
      <c r="Z29" s="51"/>
      <c r="AA29" s="38"/>
      <c r="AB29" s="51"/>
      <c r="AC29" s="51"/>
      <c r="AD29" s="38"/>
      <c r="AE29" s="51"/>
      <c r="AF29" s="51"/>
      <c r="AG29" s="51"/>
      <c r="AH29" s="51"/>
      <c r="AI29" s="51"/>
      <c r="AJ29" s="51"/>
      <c r="AK29" s="51"/>
      <c r="AL29" s="38"/>
      <c r="AM29" s="51"/>
      <c r="AN29" s="51"/>
      <c r="AO29" s="51"/>
      <c r="AP29" s="51"/>
      <c r="AQ29" s="51"/>
      <c r="AR29" s="51"/>
      <c r="AS29" s="51"/>
      <c r="AT29" s="51"/>
      <c r="AU29" s="51"/>
      <c r="AV29" s="51"/>
      <c r="AW29" s="38"/>
      <c r="AX29" s="38"/>
      <c r="AY29" s="38"/>
    </row>
    <row r="30" spans="1:51" s="41" customFormat="1" x14ac:dyDescent="0.25">
      <c r="A30" s="46"/>
      <c r="B30" s="13"/>
      <c r="C30" s="13"/>
      <c r="D30" s="13"/>
      <c r="E30" s="13"/>
      <c r="F30" s="13"/>
      <c r="G30" s="13"/>
      <c r="H30" s="13"/>
      <c r="I30" s="13"/>
      <c r="J30" s="13"/>
      <c r="K30" s="13"/>
      <c r="L30" s="13"/>
      <c r="M30" s="13"/>
      <c r="N30" s="13"/>
      <c r="O30" s="13"/>
      <c r="P30" s="13"/>
      <c r="Q30" s="13"/>
      <c r="R30" s="13"/>
      <c r="S30" s="13"/>
      <c r="T30" s="13"/>
      <c r="U30" s="13"/>
      <c r="V30" s="13"/>
      <c r="W30" s="13"/>
      <c r="X30" s="13"/>
      <c r="Y30" s="13"/>
      <c r="Z30" s="51"/>
      <c r="AA30" s="38"/>
      <c r="AB30" s="51"/>
      <c r="AC30" s="51"/>
      <c r="AD30" s="38"/>
      <c r="AE30" s="51"/>
      <c r="AF30" s="51"/>
      <c r="AG30" s="51"/>
      <c r="AH30" s="51"/>
      <c r="AI30" s="51"/>
      <c r="AJ30" s="51"/>
      <c r="AK30" s="51"/>
      <c r="AL30" s="38"/>
      <c r="AM30" s="51"/>
      <c r="AN30" s="51"/>
      <c r="AO30" s="51"/>
      <c r="AP30" s="51"/>
      <c r="AQ30" s="51"/>
      <c r="AR30" s="51"/>
      <c r="AS30" s="51"/>
      <c r="AT30" s="51"/>
      <c r="AU30" s="51"/>
      <c r="AV30" s="51"/>
      <c r="AW30" s="38"/>
      <c r="AX30" s="38"/>
      <c r="AY30" s="38"/>
    </row>
    <row r="31" spans="1:51" s="41" customFormat="1" x14ac:dyDescent="0.25">
      <c r="A31" s="46"/>
      <c r="B31" s="13"/>
      <c r="C31" s="13"/>
      <c r="D31" s="13"/>
      <c r="E31" s="13"/>
      <c r="F31" s="13"/>
      <c r="G31" s="13"/>
      <c r="H31" s="13"/>
      <c r="I31" s="13"/>
      <c r="J31" s="13"/>
      <c r="K31" s="13"/>
      <c r="L31" s="13"/>
      <c r="M31" s="13"/>
      <c r="N31" s="13"/>
      <c r="O31" s="13"/>
      <c r="P31" s="13"/>
      <c r="Q31" s="13"/>
      <c r="R31" s="13"/>
      <c r="S31" s="13"/>
      <c r="T31" s="13"/>
      <c r="U31" s="13"/>
      <c r="V31" s="13"/>
      <c r="W31" s="13"/>
      <c r="X31" s="13"/>
      <c r="Y31" s="13"/>
      <c r="Z31" s="51"/>
      <c r="AA31" s="38"/>
      <c r="AB31" s="51"/>
      <c r="AC31" s="51"/>
      <c r="AD31" s="38"/>
      <c r="AE31" s="51"/>
      <c r="AF31" s="51"/>
      <c r="AG31" s="51"/>
      <c r="AH31" s="51"/>
      <c r="AI31" s="51"/>
      <c r="AJ31" s="51"/>
      <c r="AK31" s="51"/>
      <c r="AL31" s="38"/>
      <c r="AM31" s="51"/>
      <c r="AN31" s="51"/>
      <c r="AO31" s="51"/>
      <c r="AP31" s="51"/>
      <c r="AQ31" s="51"/>
      <c r="AR31" s="51"/>
      <c r="AS31" s="51"/>
      <c r="AT31" s="51"/>
      <c r="AU31" s="51"/>
      <c r="AV31" s="51"/>
      <c r="AW31" s="38"/>
      <c r="AX31" s="38"/>
      <c r="AY31" s="38"/>
    </row>
    <row r="32" spans="1:51" s="41" customFormat="1" x14ac:dyDescent="0.25">
      <c r="A32" s="46"/>
      <c r="B32" s="13"/>
      <c r="C32" s="13"/>
      <c r="D32" s="13"/>
      <c r="E32" s="13"/>
      <c r="F32" s="13"/>
      <c r="G32" s="13"/>
      <c r="H32" s="13"/>
      <c r="I32" s="13"/>
      <c r="J32" s="13"/>
      <c r="K32" s="13"/>
      <c r="L32" s="13"/>
      <c r="M32" s="13"/>
      <c r="N32" s="13"/>
      <c r="O32" s="13"/>
      <c r="P32" s="13"/>
      <c r="Q32" s="13"/>
      <c r="R32" s="13"/>
      <c r="S32" s="13"/>
      <c r="T32" s="13"/>
      <c r="U32" s="13"/>
      <c r="V32" s="13"/>
      <c r="W32" s="13"/>
      <c r="X32" s="13"/>
      <c r="Y32" s="13"/>
      <c r="Z32" s="51"/>
      <c r="AA32" s="38"/>
      <c r="AB32" s="51"/>
      <c r="AC32" s="51"/>
      <c r="AD32" s="38"/>
      <c r="AE32" s="51"/>
      <c r="AF32" s="51"/>
      <c r="AG32" s="51"/>
      <c r="AH32" s="51"/>
      <c r="AI32" s="51"/>
      <c r="AJ32" s="51"/>
      <c r="AK32" s="51"/>
      <c r="AL32" s="38"/>
      <c r="AM32" s="51"/>
      <c r="AN32" s="51"/>
      <c r="AO32" s="51"/>
      <c r="AP32" s="51"/>
      <c r="AQ32" s="51"/>
      <c r="AR32" s="51"/>
      <c r="AS32" s="51"/>
      <c r="AT32" s="51"/>
      <c r="AU32" s="51"/>
      <c r="AV32" s="51"/>
      <c r="AW32" s="38"/>
      <c r="AX32" s="38"/>
      <c r="AY32" s="38"/>
    </row>
    <row r="33" spans="1:51" s="41" customFormat="1" x14ac:dyDescent="0.25">
      <c r="A33" s="46"/>
      <c r="B33" s="13"/>
      <c r="C33" s="13"/>
      <c r="D33" s="13"/>
      <c r="E33" s="13"/>
      <c r="F33" s="13"/>
      <c r="G33" s="13"/>
      <c r="H33" s="13"/>
      <c r="I33" s="13"/>
      <c r="J33" s="13"/>
      <c r="K33" s="13"/>
      <c r="L33" s="13"/>
      <c r="M33" s="13"/>
      <c r="N33" s="13"/>
      <c r="O33" s="13"/>
      <c r="P33" s="13"/>
      <c r="Q33" s="13"/>
      <c r="R33" s="13"/>
      <c r="S33" s="13"/>
      <c r="T33" s="13"/>
      <c r="U33" s="13"/>
      <c r="V33" s="13"/>
      <c r="W33" s="13"/>
      <c r="X33" s="13"/>
      <c r="Y33" s="13"/>
      <c r="Z33" s="51"/>
      <c r="AA33" s="38"/>
      <c r="AB33" s="51"/>
      <c r="AC33" s="51"/>
      <c r="AD33" s="38"/>
      <c r="AE33" s="51"/>
      <c r="AF33" s="51"/>
      <c r="AG33" s="51"/>
      <c r="AH33" s="51"/>
      <c r="AI33" s="51"/>
      <c r="AJ33" s="51"/>
      <c r="AK33" s="51"/>
      <c r="AL33" s="38"/>
      <c r="AM33" s="51"/>
      <c r="AN33" s="51"/>
      <c r="AO33" s="51"/>
      <c r="AP33" s="51"/>
      <c r="AQ33" s="51"/>
      <c r="AR33" s="51"/>
      <c r="AS33" s="51"/>
      <c r="AT33" s="51"/>
      <c r="AU33" s="51"/>
      <c r="AV33" s="51"/>
      <c r="AW33" s="38"/>
      <c r="AX33" s="38"/>
      <c r="AY33" s="38"/>
    </row>
    <row r="34" spans="1:51" s="41" customFormat="1" x14ac:dyDescent="0.25">
      <c r="A34" s="46"/>
      <c r="B34" s="13"/>
      <c r="C34" s="13"/>
      <c r="D34" s="13"/>
      <c r="E34" s="13"/>
      <c r="F34" s="13"/>
      <c r="G34" s="13"/>
      <c r="H34" s="13"/>
      <c r="I34" s="13"/>
      <c r="J34" s="13"/>
      <c r="K34" s="13"/>
      <c r="L34" s="13"/>
      <c r="M34" s="13"/>
      <c r="N34" s="13"/>
      <c r="O34" s="13"/>
      <c r="P34" s="13"/>
      <c r="Q34" s="13"/>
      <c r="R34" s="13"/>
      <c r="S34" s="13"/>
      <c r="T34" s="13"/>
      <c r="U34" s="13"/>
      <c r="V34" s="13"/>
      <c r="W34" s="13"/>
      <c r="X34" s="13"/>
      <c r="Y34" s="13"/>
      <c r="Z34" s="51"/>
      <c r="AA34" s="38"/>
      <c r="AB34" s="51"/>
      <c r="AC34" s="51"/>
      <c r="AD34" s="38"/>
      <c r="AE34" s="51"/>
      <c r="AF34" s="51"/>
      <c r="AG34" s="51"/>
      <c r="AH34" s="51"/>
      <c r="AI34" s="51"/>
      <c r="AJ34" s="51"/>
      <c r="AK34" s="51"/>
      <c r="AL34" s="38"/>
      <c r="AM34" s="51"/>
      <c r="AN34" s="51"/>
      <c r="AO34" s="51"/>
      <c r="AP34" s="51"/>
      <c r="AQ34" s="51"/>
      <c r="AR34" s="51"/>
      <c r="AS34" s="51"/>
      <c r="AT34" s="51"/>
      <c r="AU34" s="51"/>
      <c r="AV34" s="51"/>
      <c r="AW34" s="38"/>
      <c r="AX34" s="38"/>
      <c r="AY34" s="38"/>
    </row>
    <row r="35" spans="1:51" s="41" customFormat="1" x14ac:dyDescent="0.25">
      <c r="A35" s="47"/>
      <c r="B35" s="13"/>
      <c r="C35" s="13"/>
      <c r="D35" s="13"/>
      <c r="E35" s="13"/>
      <c r="F35" s="13"/>
      <c r="G35" s="13"/>
      <c r="H35" s="13"/>
      <c r="I35" s="13"/>
      <c r="J35" s="13"/>
      <c r="K35" s="13"/>
      <c r="L35" s="13"/>
      <c r="M35" s="13"/>
      <c r="N35" s="13"/>
      <c r="O35" s="13"/>
      <c r="P35" s="13"/>
      <c r="Q35" s="13"/>
      <c r="R35" s="13"/>
      <c r="S35" s="13"/>
      <c r="T35" s="13"/>
      <c r="U35" s="13"/>
      <c r="V35" s="13"/>
      <c r="W35" s="13"/>
      <c r="X35" s="13"/>
      <c r="Y35" s="13"/>
      <c r="Z35" s="52"/>
      <c r="AA35" s="39"/>
      <c r="AB35" s="52"/>
      <c r="AC35" s="52"/>
      <c r="AD35" s="39"/>
      <c r="AE35" s="52"/>
      <c r="AF35" s="52"/>
      <c r="AG35" s="52"/>
      <c r="AH35" s="52"/>
      <c r="AI35" s="52"/>
      <c r="AJ35" s="52"/>
      <c r="AK35" s="52"/>
      <c r="AL35" s="39"/>
      <c r="AM35" s="52"/>
      <c r="AN35" s="52"/>
      <c r="AO35" s="52"/>
      <c r="AP35" s="52"/>
      <c r="AQ35" s="52"/>
      <c r="AR35" s="52"/>
      <c r="AS35" s="52"/>
      <c r="AT35" s="52"/>
      <c r="AU35" s="52"/>
      <c r="AV35" s="52"/>
      <c r="AW35" s="39"/>
      <c r="AX35" s="39"/>
      <c r="AY35" s="39"/>
    </row>
    <row r="36" spans="1:51" s="41" customFormat="1" x14ac:dyDescent="0.25">
      <c r="A36" s="25"/>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s="41" customFormat="1" x14ac:dyDescent="0.25">
      <c r="A37" s="24" t="s">
        <v>72</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row>
    <row r="38" spans="1:51" s="41" customFormat="1" x14ac:dyDescent="0.25">
      <c r="A38" s="2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row>
    <row r="39" spans="1:51" s="41" customFormat="1" x14ac:dyDescent="0.25">
      <c r="A39" s="44" t="s">
        <v>73</v>
      </c>
      <c r="B39" s="34"/>
      <c r="C39" s="34"/>
      <c r="D39" s="34"/>
      <c r="E39" s="34"/>
      <c r="F39" s="34"/>
      <c r="G39" s="34"/>
      <c r="H39" s="34"/>
      <c r="I39" s="34"/>
      <c r="J39" s="34"/>
      <c r="K39" s="34"/>
      <c r="L39" s="34"/>
      <c r="M39" s="34"/>
      <c r="N39" s="34"/>
      <c r="O39" s="34"/>
      <c r="P39" s="34"/>
      <c r="Q39" s="34"/>
      <c r="R39" s="34"/>
      <c r="S39" s="34"/>
      <c r="T39" s="34"/>
      <c r="U39" s="34"/>
      <c r="V39" s="34"/>
      <c r="W39" s="34"/>
      <c r="X39" s="34"/>
      <c r="Y39" s="34"/>
      <c r="Z39" s="50"/>
      <c r="AA39" s="37"/>
      <c r="AB39" s="50"/>
      <c r="AC39" s="50"/>
      <c r="AD39" s="37"/>
      <c r="AE39" s="50"/>
      <c r="AF39" s="50"/>
      <c r="AG39" s="50"/>
      <c r="AH39" s="50"/>
      <c r="AI39" s="50"/>
      <c r="AJ39" s="50"/>
      <c r="AK39" s="50"/>
      <c r="AL39" s="37"/>
      <c r="AM39" s="50"/>
      <c r="AN39" s="50"/>
      <c r="AO39" s="50"/>
      <c r="AP39" s="50"/>
      <c r="AQ39" s="50"/>
      <c r="AR39" s="50"/>
      <c r="AS39" s="50"/>
      <c r="AT39" s="50"/>
      <c r="AU39" s="50"/>
      <c r="AV39" s="50"/>
      <c r="AW39" s="37"/>
      <c r="AX39" s="37"/>
      <c r="AY39" s="37"/>
    </row>
    <row r="40" spans="1:51" s="41" customFormat="1" x14ac:dyDescent="0.25">
      <c r="A40" s="44"/>
      <c r="B40" s="34"/>
      <c r="C40" s="34"/>
      <c r="D40" s="34"/>
      <c r="E40" s="34"/>
      <c r="F40" s="34"/>
      <c r="G40" s="34"/>
      <c r="H40" s="34"/>
      <c r="I40" s="34"/>
      <c r="J40" s="34"/>
      <c r="K40" s="34"/>
      <c r="L40" s="34"/>
      <c r="M40" s="34"/>
      <c r="N40" s="34"/>
      <c r="O40" s="34"/>
      <c r="P40" s="34"/>
      <c r="Q40" s="34"/>
      <c r="R40" s="34"/>
      <c r="S40" s="34"/>
      <c r="T40" s="34"/>
      <c r="U40" s="34"/>
      <c r="V40" s="34"/>
      <c r="W40" s="34"/>
      <c r="X40" s="34"/>
      <c r="Y40" s="34"/>
      <c r="Z40" s="51"/>
      <c r="AA40" s="38"/>
      <c r="AB40" s="51"/>
      <c r="AC40" s="51"/>
      <c r="AD40" s="38"/>
      <c r="AE40" s="51"/>
      <c r="AF40" s="51"/>
      <c r="AG40" s="51"/>
      <c r="AH40" s="51"/>
      <c r="AI40" s="51"/>
      <c r="AJ40" s="51"/>
      <c r="AK40" s="51"/>
      <c r="AL40" s="38"/>
      <c r="AM40" s="51"/>
      <c r="AN40" s="51"/>
      <c r="AO40" s="51"/>
      <c r="AP40" s="51"/>
      <c r="AQ40" s="51"/>
      <c r="AR40" s="51"/>
      <c r="AS40" s="51"/>
      <c r="AT40" s="51"/>
      <c r="AU40" s="51"/>
      <c r="AV40" s="51"/>
      <c r="AW40" s="38"/>
      <c r="AX40" s="38"/>
      <c r="AY40" s="38"/>
    </row>
    <row r="41" spans="1:51" s="41" customFormat="1" x14ac:dyDescent="0.25">
      <c r="A41" s="44"/>
      <c r="B41" s="34"/>
      <c r="C41" s="34"/>
      <c r="D41" s="34"/>
      <c r="E41" s="34"/>
      <c r="F41" s="34"/>
      <c r="G41" s="34"/>
      <c r="H41" s="34"/>
      <c r="I41" s="34"/>
      <c r="J41" s="34"/>
      <c r="K41" s="34"/>
      <c r="L41" s="34"/>
      <c r="M41" s="34"/>
      <c r="N41" s="34"/>
      <c r="O41" s="34"/>
      <c r="P41" s="34"/>
      <c r="Q41" s="34"/>
      <c r="R41" s="34"/>
      <c r="S41" s="34"/>
      <c r="T41" s="34"/>
      <c r="U41" s="34"/>
      <c r="V41" s="34"/>
      <c r="W41" s="34"/>
      <c r="X41" s="34"/>
      <c r="Y41" s="34"/>
      <c r="Z41" s="51"/>
      <c r="AA41" s="38"/>
      <c r="AB41" s="51"/>
      <c r="AC41" s="51"/>
      <c r="AD41" s="38"/>
      <c r="AE41" s="51"/>
      <c r="AF41" s="51"/>
      <c r="AG41" s="51"/>
      <c r="AH41" s="51"/>
      <c r="AI41" s="51"/>
      <c r="AJ41" s="51"/>
      <c r="AK41" s="51"/>
      <c r="AL41" s="38"/>
      <c r="AM41" s="51"/>
      <c r="AN41" s="51"/>
      <c r="AO41" s="51"/>
      <c r="AP41" s="51"/>
      <c r="AQ41" s="51"/>
      <c r="AR41" s="51"/>
      <c r="AS41" s="51"/>
      <c r="AT41" s="51"/>
      <c r="AU41" s="51"/>
      <c r="AV41" s="51"/>
      <c r="AW41" s="38"/>
      <c r="AX41" s="38"/>
      <c r="AY41" s="38"/>
    </row>
    <row r="42" spans="1:51" s="41" customFormat="1" x14ac:dyDescent="0.25">
      <c r="A42" s="44"/>
      <c r="B42" s="34"/>
      <c r="C42" s="34"/>
      <c r="D42" s="34"/>
      <c r="E42" s="34"/>
      <c r="F42" s="34"/>
      <c r="G42" s="34"/>
      <c r="H42" s="34"/>
      <c r="I42" s="34"/>
      <c r="J42" s="34"/>
      <c r="K42" s="34"/>
      <c r="L42" s="34"/>
      <c r="M42" s="34"/>
      <c r="N42" s="34"/>
      <c r="O42" s="34"/>
      <c r="P42" s="34"/>
      <c r="Q42" s="34"/>
      <c r="R42" s="34"/>
      <c r="S42" s="34"/>
      <c r="T42" s="34"/>
      <c r="U42" s="34"/>
      <c r="V42" s="34"/>
      <c r="W42" s="34"/>
      <c r="X42" s="34"/>
      <c r="Y42" s="34"/>
      <c r="Z42" s="51"/>
      <c r="AA42" s="38"/>
      <c r="AB42" s="51"/>
      <c r="AC42" s="51"/>
      <c r="AD42" s="38"/>
      <c r="AE42" s="51"/>
      <c r="AF42" s="51"/>
      <c r="AG42" s="51"/>
      <c r="AH42" s="51"/>
      <c r="AI42" s="51"/>
      <c r="AJ42" s="51"/>
      <c r="AK42" s="51"/>
      <c r="AL42" s="38"/>
      <c r="AM42" s="51"/>
      <c r="AN42" s="51"/>
      <c r="AO42" s="51"/>
      <c r="AP42" s="51"/>
      <c r="AQ42" s="51"/>
      <c r="AR42" s="51"/>
      <c r="AS42" s="51"/>
      <c r="AT42" s="51"/>
      <c r="AU42" s="51"/>
      <c r="AV42" s="51"/>
      <c r="AW42" s="38"/>
      <c r="AX42" s="38"/>
      <c r="AY42" s="38"/>
    </row>
    <row r="43" spans="1:51" s="41" customFormat="1" x14ac:dyDescent="0.25">
      <c r="A43" s="44"/>
      <c r="B43" s="34"/>
      <c r="C43" s="34"/>
      <c r="D43" s="34"/>
      <c r="E43" s="34"/>
      <c r="F43" s="34"/>
      <c r="G43" s="34"/>
      <c r="H43" s="34"/>
      <c r="I43" s="34"/>
      <c r="J43" s="34"/>
      <c r="K43" s="34"/>
      <c r="L43" s="34"/>
      <c r="M43" s="34"/>
      <c r="N43" s="34"/>
      <c r="O43" s="34"/>
      <c r="P43" s="34"/>
      <c r="Q43" s="34"/>
      <c r="R43" s="34"/>
      <c r="S43" s="34"/>
      <c r="T43" s="34"/>
      <c r="U43" s="34"/>
      <c r="V43" s="34"/>
      <c r="W43" s="34"/>
      <c r="X43" s="34"/>
      <c r="Y43" s="34"/>
      <c r="Z43" s="52"/>
      <c r="AA43" s="39"/>
      <c r="AB43" s="52"/>
      <c r="AC43" s="52"/>
      <c r="AD43" s="39"/>
      <c r="AE43" s="52"/>
      <c r="AF43" s="52"/>
      <c r="AG43" s="52"/>
      <c r="AH43" s="52"/>
      <c r="AI43" s="52"/>
      <c r="AJ43" s="52"/>
      <c r="AK43" s="52"/>
      <c r="AL43" s="39"/>
      <c r="AM43" s="52"/>
      <c r="AN43" s="52"/>
      <c r="AO43" s="52"/>
      <c r="AP43" s="52"/>
      <c r="AQ43" s="52"/>
      <c r="AR43" s="52"/>
      <c r="AS43" s="52"/>
      <c r="AT43" s="52"/>
      <c r="AU43" s="52"/>
      <c r="AV43" s="52"/>
      <c r="AW43" s="39"/>
      <c r="AX43" s="39"/>
      <c r="AY43" s="39"/>
    </row>
    <row r="44" spans="1:51" s="41" customFormat="1" x14ac:dyDescent="0.25">
      <c r="A44" s="2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45" spans="1:51" s="41" customFormat="1" ht="15" customHeight="1" x14ac:dyDescent="0.25">
      <c r="A45" s="24" t="s">
        <v>74</v>
      </c>
      <c r="B45" s="35">
        <v>22193</v>
      </c>
      <c r="C45" s="35">
        <v>1340</v>
      </c>
      <c r="D45" s="35">
        <v>1522</v>
      </c>
      <c r="E45" s="35">
        <v>1864</v>
      </c>
      <c r="F45" s="35">
        <v>108</v>
      </c>
      <c r="G45" s="35">
        <v>590</v>
      </c>
      <c r="H45" s="35">
        <v>369</v>
      </c>
      <c r="I45" s="35">
        <v>2743</v>
      </c>
      <c r="J45" s="35">
        <v>3386</v>
      </c>
      <c r="K45" s="35">
        <v>3386</v>
      </c>
      <c r="L45" s="35">
        <v>171</v>
      </c>
      <c r="M45" s="35">
        <v>4803</v>
      </c>
      <c r="N45" s="35">
        <v>405</v>
      </c>
      <c r="O45" s="35">
        <v>4659</v>
      </c>
      <c r="P45" s="35">
        <v>10</v>
      </c>
      <c r="Q45" s="35">
        <v>51</v>
      </c>
      <c r="R45" s="35">
        <v>840</v>
      </c>
      <c r="S45" s="35">
        <v>3536</v>
      </c>
      <c r="T45" s="35">
        <v>528</v>
      </c>
      <c r="U45" s="36">
        <v>1853</v>
      </c>
      <c r="V45" s="36">
        <v>3285</v>
      </c>
      <c r="W45" s="36">
        <v>1682</v>
      </c>
      <c r="X45" s="36"/>
      <c r="Y45" s="36"/>
      <c r="Z45" s="50" t="s">
        <v>101</v>
      </c>
      <c r="AA45" s="37"/>
      <c r="AB45" s="50">
        <v>75</v>
      </c>
      <c r="AC45" s="50"/>
      <c r="AD45" s="37"/>
      <c r="AE45" s="50"/>
      <c r="AF45" s="50"/>
      <c r="AG45" s="50"/>
      <c r="AH45" s="50"/>
      <c r="AI45" s="50"/>
      <c r="AJ45" s="37"/>
      <c r="AK45" s="50">
        <v>37</v>
      </c>
      <c r="AL45" s="37"/>
      <c r="AM45" s="50"/>
      <c r="AN45" s="50" t="s">
        <v>101</v>
      </c>
      <c r="AO45" s="50" t="s">
        <v>101</v>
      </c>
      <c r="AP45" s="53" t="s">
        <v>101</v>
      </c>
      <c r="AQ45" s="54"/>
      <c r="AR45" s="50" t="s">
        <v>113</v>
      </c>
      <c r="AS45" s="13"/>
      <c r="AT45" s="13"/>
      <c r="AU45" s="13"/>
      <c r="AV45" s="13"/>
      <c r="AW45" s="13"/>
      <c r="AX45" s="13"/>
      <c r="AY45" s="13"/>
    </row>
    <row r="46" spans="1:51" s="41" customFormat="1" x14ac:dyDescent="0.25">
      <c r="A46" s="24" t="s">
        <v>75</v>
      </c>
      <c r="B46" s="35">
        <v>22193</v>
      </c>
      <c r="C46" s="35">
        <v>1340</v>
      </c>
      <c r="D46" s="35">
        <v>1522</v>
      </c>
      <c r="E46" s="35">
        <v>1864</v>
      </c>
      <c r="F46" s="35">
        <v>108</v>
      </c>
      <c r="G46" s="35">
        <v>590</v>
      </c>
      <c r="H46" s="35">
        <v>369</v>
      </c>
      <c r="I46" s="35">
        <v>2743</v>
      </c>
      <c r="J46" s="35">
        <v>3386</v>
      </c>
      <c r="K46" s="35">
        <v>3386</v>
      </c>
      <c r="L46" s="35">
        <v>171</v>
      </c>
      <c r="M46" s="35">
        <v>4803</v>
      </c>
      <c r="N46" s="35">
        <v>405</v>
      </c>
      <c r="O46" s="35">
        <v>4659</v>
      </c>
      <c r="P46" s="35">
        <v>10</v>
      </c>
      <c r="Q46" s="35">
        <v>51</v>
      </c>
      <c r="R46" s="35">
        <v>840</v>
      </c>
      <c r="S46" s="35">
        <v>3536</v>
      </c>
      <c r="T46" s="35">
        <v>528</v>
      </c>
      <c r="U46" s="36">
        <v>1853</v>
      </c>
      <c r="V46" s="36">
        <v>3285</v>
      </c>
      <c r="W46" s="36">
        <v>1682</v>
      </c>
      <c r="X46" s="36"/>
      <c r="Y46" s="36"/>
      <c r="Z46" s="51"/>
      <c r="AA46" s="38"/>
      <c r="AB46" s="51"/>
      <c r="AC46" s="51"/>
      <c r="AD46" s="38"/>
      <c r="AE46" s="51"/>
      <c r="AF46" s="51"/>
      <c r="AG46" s="51"/>
      <c r="AH46" s="51"/>
      <c r="AI46" s="51"/>
      <c r="AJ46" s="38"/>
      <c r="AK46" s="51"/>
      <c r="AL46" s="38"/>
      <c r="AM46" s="51"/>
      <c r="AN46" s="51"/>
      <c r="AO46" s="51"/>
      <c r="AP46" s="55"/>
      <c r="AQ46" s="56"/>
      <c r="AR46" s="51"/>
      <c r="AS46" s="13"/>
      <c r="AT46" s="13"/>
      <c r="AU46" s="13"/>
      <c r="AV46" s="13"/>
      <c r="AW46" s="13"/>
      <c r="AX46" s="13"/>
      <c r="AY46" s="13"/>
    </row>
    <row r="47" spans="1:51" s="41" customFormat="1" x14ac:dyDescent="0.25">
      <c r="A47" s="24" t="s">
        <v>76</v>
      </c>
      <c r="B47" s="35">
        <v>0</v>
      </c>
      <c r="C47" s="35">
        <v>0</v>
      </c>
      <c r="D47" s="35">
        <v>0</v>
      </c>
      <c r="E47" s="35">
        <v>0</v>
      </c>
      <c r="F47" s="35">
        <v>0</v>
      </c>
      <c r="G47" s="35">
        <v>0</v>
      </c>
      <c r="H47" s="35">
        <v>0</v>
      </c>
      <c r="I47" s="35">
        <v>0</v>
      </c>
      <c r="J47" s="35">
        <v>0</v>
      </c>
      <c r="K47" s="35">
        <v>0</v>
      </c>
      <c r="L47" s="35">
        <v>0</v>
      </c>
      <c r="M47" s="35">
        <v>0</v>
      </c>
      <c r="N47" s="35">
        <v>39</v>
      </c>
      <c r="O47" s="35">
        <v>0</v>
      </c>
      <c r="P47" s="35">
        <v>0</v>
      </c>
      <c r="Q47" s="35">
        <v>0</v>
      </c>
      <c r="R47" s="35">
        <v>0</v>
      </c>
      <c r="S47" s="35">
        <v>0</v>
      </c>
      <c r="T47" s="35">
        <v>0</v>
      </c>
      <c r="U47" s="36">
        <v>0</v>
      </c>
      <c r="V47" s="36">
        <v>0</v>
      </c>
      <c r="W47" s="36">
        <v>0</v>
      </c>
      <c r="X47" s="36"/>
      <c r="Y47" s="36"/>
      <c r="Z47" s="52"/>
      <c r="AA47" s="39"/>
      <c r="AB47" s="52"/>
      <c r="AC47" s="52"/>
      <c r="AD47" s="39"/>
      <c r="AE47" s="52"/>
      <c r="AF47" s="52"/>
      <c r="AG47" s="52"/>
      <c r="AH47" s="52"/>
      <c r="AI47" s="52"/>
      <c r="AJ47" s="39"/>
      <c r="AK47" s="52"/>
      <c r="AL47" s="39"/>
      <c r="AM47" s="52"/>
      <c r="AN47" s="52"/>
      <c r="AO47" s="52"/>
      <c r="AP47" s="57"/>
      <c r="AQ47" s="58"/>
      <c r="AR47" s="52"/>
      <c r="AS47" s="13"/>
      <c r="AT47" s="13"/>
      <c r="AU47" s="13"/>
      <c r="AV47" s="13"/>
      <c r="AW47" s="13"/>
      <c r="AX47" s="13"/>
      <c r="AY47" s="13"/>
    </row>
    <row r="48" spans="1:51" s="41" customFormat="1" x14ac:dyDescent="0.25">
      <c r="A48" s="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row>
    <row r="49" spans="1:51" s="41" customFormat="1" ht="45" x14ac:dyDescent="0.25">
      <c r="A49" s="26" t="s">
        <v>77</v>
      </c>
      <c r="B49" s="13" t="s">
        <v>78</v>
      </c>
      <c r="C49" s="13" t="s">
        <v>78</v>
      </c>
      <c r="D49" s="13" t="s">
        <v>78</v>
      </c>
      <c r="E49" s="13" t="s">
        <v>78</v>
      </c>
      <c r="F49" s="13" t="s">
        <v>78</v>
      </c>
      <c r="G49" s="13" t="s">
        <v>78</v>
      </c>
      <c r="H49" s="13" t="s">
        <v>78</v>
      </c>
      <c r="I49" s="13" t="s">
        <v>78</v>
      </c>
      <c r="J49" s="13" t="s">
        <v>78</v>
      </c>
      <c r="K49" s="13" t="s">
        <v>78</v>
      </c>
      <c r="L49" s="13" t="s">
        <v>78</v>
      </c>
      <c r="M49" s="13" t="s">
        <v>78</v>
      </c>
      <c r="N49" s="13" t="s">
        <v>78</v>
      </c>
      <c r="O49" s="13" t="s">
        <v>78</v>
      </c>
      <c r="P49" s="13" t="s">
        <v>78</v>
      </c>
      <c r="Q49" s="13" t="s">
        <v>78</v>
      </c>
      <c r="R49" s="13" t="s">
        <v>78</v>
      </c>
      <c r="S49" s="13" t="s">
        <v>78</v>
      </c>
      <c r="T49" s="13" t="s">
        <v>78</v>
      </c>
      <c r="U49" s="13" t="s">
        <v>78</v>
      </c>
      <c r="V49" s="13" t="s">
        <v>78</v>
      </c>
      <c r="W49" s="13" t="s">
        <v>78</v>
      </c>
      <c r="X49" s="13"/>
      <c r="Y49" s="13"/>
      <c r="Z49" s="13"/>
      <c r="AA49" s="13"/>
      <c r="AB49" s="13"/>
      <c r="AC49" s="13" t="s">
        <v>112</v>
      </c>
      <c r="AD49" s="13"/>
      <c r="AE49" s="13"/>
      <c r="AF49" s="13"/>
      <c r="AG49" s="13"/>
      <c r="AH49" s="13"/>
      <c r="AI49" s="13"/>
      <c r="AJ49" s="13" t="s">
        <v>114</v>
      </c>
      <c r="AK49" s="13"/>
      <c r="AL49" s="13"/>
      <c r="AM49" s="13" t="s">
        <v>102</v>
      </c>
      <c r="AN49" s="13"/>
      <c r="AO49" s="13"/>
      <c r="AP49" s="13"/>
      <c r="AQ49" s="13"/>
      <c r="AR49" s="13"/>
      <c r="AS49" s="13"/>
      <c r="AT49" s="13"/>
      <c r="AU49" s="13"/>
      <c r="AV49" s="13"/>
      <c r="AW49" s="13"/>
      <c r="AX49" s="13"/>
      <c r="AY49" s="13"/>
    </row>
    <row r="50" spans="1:51" s="41" customFormat="1" x14ac:dyDescent="0.25">
      <c r="A50" s="15"/>
      <c r="B50" s="6"/>
      <c r="C50" s="6"/>
      <c r="D50" s="6"/>
      <c r="E50" s="6"/>
      <c r="F50" s="6"/>
      <c r="G50" s="6"/>
      <c r="H50" s="6"/>
      <c r="I50" s="6"/>
      <c r="J50" s="6"/>
      <c r="K50" s="6"/>
      <c r="L50" s="6"/>
      <c r="M50" s="6"/>
      <c r="N50" s="6"/>
      <c r="O50" s="6"/>
      <c r="P50" s="6"/>
      <c r="Q50" s="6"/>
      <c r="R50" s="6"/>
      <c r="S50" s="6"/>
      <c r="T50" s="6"/>
      <c r="U50" s="6"/>
      <c r="V50" s="6"/>
      <c r="W50" s="6"/>
      <c r="X50" s="6"/>
      <c r="Y50" s="6"/>
    </row>
    <row r="51" spans="1:51" s="41" customFormat="1" x14ac:dyDescent="0.25">
      <c r="A51" s="15"/>
      <c r="B51" s="6"/>
      <c r="C51" s="6"/>
      <c r="D51" s="6"/>
      <c r="E51" s="6"/>
      <c r="F51" s="6"/>
      <c r="G51" s="6"/>
      <c r="H51" s="6"/>
      <c r="I51" s="6"/>
      <c r="J51" s="6"/>
      <c r="K51" s="6"/>
      <c r="L51" s="6"/>
      <c r="M51" s="6"/>
      <c r="N51" s="6"/>
      <c r="O51" s="6"/>
      <c r="P51" s="6"/>
      <c r="Q51" s="6"/>
      <c r="R51" s="6"/>
      <c r="S51" s="6"/>
      <c r="T51" s="6"/>
      <c r="U51" s="6"/>
      <c r="V51" s="6"/>
      <c r="W51" s="6"/>
      <c r="X51" s="6"/>
      <c r="Y51" s="6"/>
    </row>
    <row r="52" spans="1:51" s="41" customFormat="1" x14ac:dyDescent="0.25">
      <c r="A52" s="15"/>
      <c r="B52" s="6"/>
      <c r="C52" s="6"/>
      <c r="D52" s="6"/>
      <c r="E52" s="6"/>
      <c r="F52" s="6"/>
      <c r="G52" s="6"/>
      <c r="H52" s="6"/>
      <c r="I52" s="6"/>
      <c r="J52" s="6"/>
      <c r="K52" s="6"/>
      <c r="L52" s="6"/>
      <c r="M52" s="6"/>
      <c r="N52" s="6"/>
      <c r="O52" s="6"/>
      <c r="P52" s="6"/>
      <c r="Q52" s="6"/>
      <c r="R52" s="6"/>
      <c r="S52" s="6"/>
      <c r="T52" s="6"/>
      <c r="U52" s="6"/>
      <c r="V52" s="6"/>
      <c r="W52" s="6"/>
      <c r="X52" s="6"/>
      <c r="Y52" s="6"/>
    </row>
    <row r="53" spans="1:51" s="41" customFormat="1" x14ac:dyDescent="0.25">
      <c r="A53" s="15"/>
      <c r="B53" s="6"/>
      <c r="C53" s="6"/>
      <c r="D53" s="6"/>
      <c r="E53" s="6"/>
      <c r="F53" s="6"/>
      <c r="G53" s="6"/>
      <c r="H53" s="6"/>
      <c r="I53" s="6"/>
      <c r="J53" s="6"/>
      <c r="K53" s="6"/>
      <c r="L53" s="6"/>
      <c r="M53" s="6"/>
      <c r="N53" s="6"/>
      <c r="O53" s="6"/>
      <c r="P53" s="6"/>
      <c r="Q53" s="6"/>
      <c r="R53" s="6"/>
      <c r="S53" s="6"/>
      <c r="T53" s="6"/>
      <c r="U53" s="6"/>
      <c r="V53" s="6"/>
      <c r="W53" s="6"/>
      <c r="X53" s="6"/>
      <c r="Y53" s="6"/>
    </row>
    <row r="54" spans="1:51" s="41" customFormat="1" x14ac:dyDescent="0.25">
      <c r="A54" s="15"/>
      <c r="B54" s="6"/>
      <c r="C54" s="6"/>
      <c r="D54" s="6"/>
      <c r="E54" s="6"/>
      <c r="F54" s="6"/>
      <c r="G54" s="6"/>
      <c r="H54" s="6"/>
      <c r="I54" s="6"/>
      <c r="J54" s="6"/>
      <c r="K54" s="6"/>
      <c r="L54" s="6"/>
      <c r="M54" s="6"/>
      <c r="N54" s="6"/>
      <c r="O54" s="6"/>
      <c r="P54" s="6"/>
      <c r="Q54" s="6"/>
      <c r="R54" s="6"/>
      <c r="S54" s="6"/>
      <c r="T54" s="6"/>
      <c r="U54" s="6"/>
      <c r="V54" s="6"/>
      <c r="W54" s="6"/>
      <c r="X54" s="6"/>
      <c r="Y54" s="6"/>
    </row>
    <row r="55" spans="1:51" s="41" customFormat="1" x14ac:dyDescent="0.25">
      <c r="A55" s="15"/>
      <c r="B55" s="6"/>
      <c r="C55" s="6"/>
      <c r="D55" s="6"/>
      <c r="E55" s="6"/>
      <c r="F55" s="6"/>
      <c r="G55" s="6"/>
      <c r="H55" s="6"/>
      <c r="I55" s="6"/>
      <c r="J55" s="6"/>
      <c r="K55" s="6"/>
      <c r="L55" s="6"/>
      <c r="M55" s="6"/>
      <c r="N55" s="6"/>
      <c r="O55" s="6"/>
      <c r="P55" s="6"/>
      <c r="Q55" s="6"/>
      <c r="R55" s="6"/>
      <c r="S55" s="6"/>
      <c r="T55" s="6"/>
      <c r="U55" s="6"/>
      <c r="V55" s="6"/>
      <c r="W55" s="6"/>
      <c r="X55" s="6"/>
      <c r="Y55" s="6"/>
    </row>
  </sheetData>
  <mergeCells count="58">
    <mergeCell ref="AS18:AS35"/>
    <mergeCell ref="AT18:AT35"/>
    <mergeCell ref="AU18:AU35"/>
    <mergeCell ref="AV18:AV35"/>
    <mergeCell ref="AS39:AS43"/>
    <mergeCell ref="AT39:AT43"/>
    <mergeCell ref="AU39:AU43"/>
    <mergeCell ref="AV39:AV43"/>
    <mergeCell ref="AN45:AN47"/>
    <mergeCell ref="AO45:AO47"/>
    <mergeCell ref="AP45:AQ47"/>
    <mergeCell ref="AR45:AR47"/>
    <mergeCell ref="AG45:AG47"/>
    <mergeCell ref="AH45:AH47"/>
    <mergeCell ref="AI45:AI47"/>
    <mergeCell ref="AK45:AK47"/>
    <mergeCell ref="AM45:AM47"/>
    <mergeCell ref="Z45:Z47"/>
    <mergeCell ref="AB45:AB47"/>
    <mergeCell ref="AC45:AC47"/>
    <mergeCell ref="AE45:AE47"/>
    <mergeCell ref="AF45:AF47"/>
    <mergeCell ref="AM39:AM43"/>
    <mergeCell ref="AN39:AN43"/>
    <mergeCell ref="AO39:AO43"/>
    <mergeCell ref="AP39:AP43"/>
    <mergeCell ref="AQ39:AQ43"/>
    <mergeCell ref="AG39:AG43"/>
    <mergeCell ref="AH39:AH43"/>
    <mergeCell ref="AI39:AI43"/>
    <mergeCell ref="AJ39:AJ43"/>
    <mergeCell ref="AK39:AK43"/>
    <mergeCell ref="Z39:Z43"/>
    <mergeCell ref="AB39:AB43"/>
    <mergeCell ref="AC39:AC43"/>
    <mergeCell ref="AE39:AE43"/>
    <mergeCell ref="AF39:AF43"/>
    <mergeCell ref="AM18:AM35"/>
    <mergeCell ref="AN18:AN35"/>
    <mergeCell ref="AO18:AO35"/>
    <mergeCell ref="AP18:AP35"/>
    <mergeCell ref="AQ18:AQ35"/>
    <mergeCell ref="B2:T2"/>
    <mergeCell ref="A39:A43"/>
    <mergeCell ref="A18:A35"/>
    <mergeCell ref="AP16:AQ16"/>
    <mergeCell ref="AR18:AR35"/>
    <mergeCell ref="AR39:AR43"/>
    <mergeCell ref="Z18:Z35"/>
    <mergeCell ref="AB18:AB35"/>
    <mergeCell ref="AC18:AC35"/>
    <mergeCell ref="AE18:AE35"/>
    <mergeCell ref="AF18:AF35"/>
    <mergeCell ref="AG18:AG35"/>
    <mergeCell ref="AH18:AH35"/>
    <mergeCell ref="AI18:AI35"/>
    <mergeCell ref="AJ18:AJ35"/>
    <mergeCell ref="AK18:AK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62CF-FBD6-43F8-924D-101EA9A22F1E}">
  <dimension ref="A1:D11"/>
  <sheetViews>
    <sheetView workbookViewId="0">
      <selection activeCell="G9" sqref="G9"/>
    </sheetView>
  </sheetViews>
  <sheetFormatPr defaultColWidth="8.85546875" defaultRowHeight="15" x14ac:dyDescent="0.25"/>
  <cols>
    <col min="1" max="1" width="39.42578125" bestFit="1" customWidth="1"/>
    <col min="2" max="2" width="2.42578125" customWidth="1"/>
    <col min="3" max="3" width="15" bestFit="1" customWidth="1"/>
    <col min="4" max="4" width="2.42578125" customWidth="1"/>
    <col min="6" max="6" width="7.28515625" customWidth="1"/>
  </cols>
  <sheetData>
    <row r="1" spans="1:4" x14ac:dyDescent="0.25">
      <c r="A1" t="s">
        <v>103</v>
      </c>
    </row>
    <row r="3" spans="1:4" x14ac:dyDescent="0.25">
      <c r="A3" s="3" t="s">
        <v>115</v>
      </c>
      <c r="B3" s="3"/>
      <c r="C3" s="2"/>
      <c r="D3" s="4"/>
    </row>
    <row r="5" spans="1:4" x14ac:dyDescent="0.25">
      <c r="A5" s="3"/>
      <c r="B5" s="3"/>
      <c r="C5" s="3" t="s">
        <v>104</v>
      </c>
      <c r="D5" s="3"/>
    </row>
    <row r="6" spans="1:4" x14ac:dyDescent="0.25">
      <c r="A6" s="3"/>
      <c r="B6" s="3"/>
      <c r="C6" s="3"/>
      <c r="D6" s="3"/>
    </row>
    <row r="7" spans="1:4" ht="30" x14ac:dyDescent="0.25">
      <c r="A7" s="1" t="s">
        <v>105</v>
      </c>
      <c r="C7" s="40">
        <v>-157745</v>
      </c>
      <c r="D7" s="3"/>
    </row>
    <row r="8" spans="1:4" ht="60" x14ac:dyDescent="0.25">
      <c r="A8" s="1" t="s">
        <v>106</v>
      </c>
      <c r="C8" s="40">
        <v>458002</v>
      </c>
      <c r="D8" s="3"/>
    </row>
    <row r="9" spans="1:4" ht="90" x14ac:dyDescent="0.25">
      <c r="A9" s="1" t="s">
        <v>107</v>
      </c>
      <c r="C9" s="40">
        <v>114362</v>
      </c>
      <c r="D9" s="3"/>
    </row>
    <row r="10" spans="1:4" ht="15.75" thickBot="1" x14ac:dyDescent="0.3">
      <c r="A10" t="s">
        <v>108</v>
      </c>
      <c r="C10" s="14">
        <f>SUM(C7:C9)</f>
        <v>414619</v>
      </c>
      <c r="D10" s="4"/>
    </row>
    <row r="11" spans="1: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Overall</vt:lpstr>
      <vt:lpstr>Carryover (Reserves)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Ginny P. Lee</dc:creator>
  <cp:lastModifiedBy>Coy, Janine (LRC)</cp:lastModifiedBy>
  <dcterms:created xsi:type="dcterms:W3CDTF">2023-12-12T15:02:29Z</dcterms:created>
  <dcterms:modified xsi:type="dcterms:W3CDTF">2025-01-02T13:54:56Z</dcterms:modified>
</cp:coreProperties>
</file>